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127"/>
  <workbookPr autoCompressPictures="0"/>
  <bookViews>
    <workbookView xWindow="520" yWindow="580" windowWidth="14080" windowHeight="7840"/>
  </bookViews>
  <sheets>
    <sheet name="Heph Hunting" sheetId="5" r:id="rId1"/>
    <sheet name="Oracle Sheet" sheetId="18" r:id="rId2"/>
    <sheet name="Split Calculator" sheetId="3" r:id="rId3"/>
    <sheet name="Galaxy Heph Survey" sheetId="10" r:id="rId4"/>
  </sheets>
  <definedNames>
    <definedName name="artemi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8" i="5" l="1"/>
  <c r="E37" i="5"/>
  <c r="E36" i="5"/>
  <c r="E35" i="5"/>
  <c r="E34" i="5"/>
  <c r="E33" i="5"/>
  <c r="E32" i="5"/>
  <c r="E31" i="5"/>
  <c r="E30" i="5"/>
  <c r="E29" i="5"/>
  <c r="J23" i="5"/>
  <c r="C11" i="5"/>
  <c r="E11" i="5"/>
  <c r="O1" i="5"/>
  <c r="D11" i="5"/>
  <c r="J7" i="3"/>
  <c r="I7" i="3"/>
  <c r="H7" i="3"/>
  <c r="I6" i="3"/>
  <c r="H6" i="3"/>
  <c r="C5" i="18"/>
  <c r="C11" i="18"/>
  <c r="B5" i="18"/>
  <c r="B9" i="18"/>
  <c r="A5" i="18"/>
  <c r="A11" i="18"/>
  <c r="B7" i="18"/>
  <c r="A9" i="18"/>
  <c r="C9" i="18"/>
  <c r="B11" i="18"/>
  <c r="A7" i="18"/>
  <c r="C7" i="18"/>
  <c r="D13" i="3"/>
  <c r="C13" i="3"/>
  <c r="B13" i="3"/>
  <c r="J17" i="5"/>
  <c r="P17" i="5"/>
  <c r="K25" i="5"/>
  <c r="Q25" i="5"/>
  <c r="J25" i="5"/>
  <c r="P25" i="5"/>
  <c r="K24" i="5"/>
  <c r="Q24" i="5"/>
  <c r="J24" i="5"/>
  <c r="P24" i="5"/>
  <c r="K23" i="5"/>
  <c r="Q23" i="5"/>
  <c r="P23" i="5"/>
  <c r="K22" i="5"/>
  <c r="Q22" i="5"/>
  <c r="J22" i="5"/>
  <c r="P22" i="5"/>
  <c r="K21" i="5"/>
  <c r="Q21" i="5"/>
  <c r="J21" i="5"/>
  <c r="P21" i="5"/>
  <c r="K20" i="5"/>
  <c r="Q20" i="5"/>
  <c r="J20" i="5"/>
  <c r="P20" i="5"/>
  <c r="K19" i="5"/>
  <c r="Q19" i="5"/>
  <c r="J19" i="5"/>
  <c r="P19" i="5"/>
  <c r="K18" i="5"/>
  <c r="Q18" i="5"/>
  <c r="J18" i="5"/>
  <c r="P18" i="5"/>
  <c r="K17" i="5"/>
  <c r="Q17" i="5"/>
  <c r="K16" i="5"/>
  <c r="Q16" i="5"/>
  <c r="J16" i="5"/>
  <c r="P16" i="5"/>
  <c r="K12" i="5"/>
  <c r="J12" i="5"/>
  <c r="P12" i="5"/>
  <c r="K11" i="5"/>
  <c r="Q11" i="5"/>
  <c r="J11" i="5"/>
  <c r="P11" i="5"/>
  <c r="K10" i="5"/>
  <c r="Q10" i="5"/>
  <c r="J10" i="5"/>
  <c r="P10" i="5"/>
  <c r="K9" i="5"/>
  <c r="Q9" i="5"/>
  <c r="J9" i="5"/>
  <c r="P9" i="5"/>
  <c r="K8" i="5"/>
  <c r="Q8" i="5"/>
  <c r="J8" i="5"/>
  <c r="P8" i="5"/>
  <c r="K7" i="5"/>
  <c r="Q7" i="5"/>
  <c r="J7" i="5"/>
  <c r="P7" i="5"/>
  <c r="K6" i="5"/>
  <c r="Q6" i="5"/>
  <c r="J6" i="5"/>
  <c r="P6" i="5"/>
  <c r="K5" i="5"/>
  <c r="Q5" i="5"/>
  <c r="J5" i="5"/>
  <c r="P5" i="5"/>
  <c r="K4" i="5"/>
  <c r="Q4" i="5"/>
  <c r="J4" i="5"/>
  <c r="P4" i="5"/>
  <c r="K3" i="5"/>
  <c r="Q3" i="5"/>
  <c r="J3" i="5"/>
  <c r="P3" i="5"/>
  <c r="D4" i="3"/>
  <c r="J13" i="3"/>
  <c r="D15" i="3"/>
  <c r="C4" i="3"/>
  <c r="I13" i="3"/>
  <c r="C15" i="3"/>
  <c r="B4" i="3"/>
  <c r="H13" i="3"/>
  <c r="B15" i="3"/>
  <c r="Q12" i="5"/>
  <c r="D16" i="3"/>
  <c r="B16" i="3"/>
  <c r="C16" i="3"/>
  <c r="D22" i="3"/>
  <c r="D20" i="3"/>
  <c r="D23" i="3"/>
  <c r="D21" i="3"/>
  <c r="C23" i="3"/>
  <c r="I23" i="3"/>
  <c r="C22" i="3"/>
  <c r="I22" i="3"/>
  <c r="C20" i="3"/>
  <c r="I20" i="3"/>
  <c r="C21" i="3"/>
  <c r="I21" i="3"/>
  <c r="B22" i="3"/>
  <c r="H22" i="3"/>
  <c r="B20" i="3"/>
  <c r="H20" i="3"/>
  <c r="B23" i="3"/>
  <c r="H23" i="3"/>
  <c r="B21" i="3"/>
  <c r="H21" i="3"/>
  <c r="C18" i="3"/>
  <c r="I18" i="3"/>
  <c r="B18" i="3"/>
  <c r="H18" i="3"/>
  <c r="D19" i="3"/>
  <c r="D18" i="3"/>
  <c r="B19" i="3"/>
  <c r="H19" i="3"/>
  <c r="C19" i="3"/>
  <c r="I19" i="3"/>
  <c r="N24" i="5"/>
  <c r="M3" i="5"/>
  <c r="N25" i="5"/>
  <c r="M10" i="5"/>
  <c r="M19" i="5"/>
  <c r="M7" i="5"/>
  <c r="M12" i="5"/>
  <c r="M11" i="5"/>
  <c r="M21" i="5"/>
  <c r="N16" i="5"/>
  <c r="M18" i="5"/>
  <c r="M22" i="5"/>
  <c r="M9" i="5"/>
  <c r="M23" i="5"/>
  <c r="N4" i="5"/>
  <c r="N11" i="5"/>
  <c r="N22" i="5"/>
  <c r="N8" i="5"/>
  <c r="N12" i="5"/>
  <c r="N19" i="5"/>
  <c r="N23" i="5"/>
  <c r="M16" i="5"/>
  <c r="N20" i="5"/>
  <c r="N7" i="5"/>
  <c r="M6" i="5"/>
  <c r="N17" i="5"/>
  <c r="N6" i="5"/>
  <c r="M4" i="5"/>
  <c r="M8" i="5"/>
  <c r="N5" i="5"/>
  <c r="N9" i="5"/>
  <c r="M24" i="5"/>
  <c r="M17" i="5"/>
  <c r="M5" i="5"/>
  <c r="M20" i="5"/>
  <c r="N3" i="5"/>
  <c r="M25" i="5"/>
  <c r="N18" i="5"/>
  <c r="N10" i="5"/>
  <c r="N21" i="5"/>
  <c r="K29" i="5"/>
  <c r="K31" i="5"/>
  <c r="K36" i="5"/>
  <c r="K30" i="5"/>
  <c r="K35" i="5"/>
  <c r="K34" i="5"/>
  <c r="M29" i="5"/>
  <c r="M34" i="5"/>
</calcChain>
</file>

<file path=xl/sharedStrings.xml><?xml version="1.0" encoding="utf-8"?>
<sst xmlns="http://schemas.openxmlformats.org/spreadsheetml/2006/main" count="119" uniqueCount="85">
  <si>
    <t>Resources Gained</t>
  </si>
  <si>
    <t>Ore</t>
  </si>
  <si>
    <t>Debris</t>
  </si>
  <si>
    <t>Total Gains</t>
  </si>
  <si>
    <t>Crystal</t>
  </si>
  <si>
    <t>Hydro</t>
  </si>
  <si>
    <t>Player 1-losses</t>
  </si>
  <si>
    <t>Player 2-losses</t>
  </si>
  <si>
    <t>Player 3-losses</t>
  </si>
  <si>
    <t>Player 4-losses</t>
  </si>
  <si>
    <t>Player 5-losses</t>
  </si>
  <si>
    <t>Player 6-losses</t>
  </si>
  <si>
    <t>Total Losses</t>
  </si>
  <si>
    <t>Profit</t>
  </si>
  <si>
    <t>Split</t>
  </si>
  <si>
    <t>Player 1-receives</t>
  </si>
  <si>
    <t>Player 2-receives</t>
  </si>
  <si>
    <t>Player 3-receives</t>
  </si>
  <si>
    <t>Player 4-receives</t>
  </si>
  <si>
    <t>Player 5-receives</t>
  </si>
  <si>
    <t>Player 6-receives</t>
  </si>
  <si>
    <t>Jet</t>
  </si>
  <si>
    <t>Pulse</t>
  </si>
  <si>
    <t>Warp</t>
  </si>
  <si>
    <t>Atlas</t>
  </si>
  <si>
    <t>Apollo</t>
  </si>
  <si>
    <t>Ares</t>
  </si>
  <si>
    <t>Zeus</t>
  </si>
  <si>
    <t>Probes</t>
  </si>
  <si>
    <t>Athena</t>
  </si>
  <si>
    <t>Hades</t>
  </si>
  <si>
    <t>Dios</t>
  </si>
  <si>
    <t>Drive Techs</t>
  </si>
  <si>
    <t>Military Techs</t>
  </si>
  <si>
    <t>Armor</t>
  </si>
  <si>
    <t>Weapons</t>
  </si>
  <si>
    <t>Shield</t>
  </si>
  <si>
    <t>FRS Times-1 Planet</t>
  </si>
  <si>
    <t>FRS Times-Same Planet</t>
  </si>
  <si>
    <t>Expected Return Time</t>
  </si>
  <si>
    <t>FRS Start</t>
  </si>
  <si>
    <t>Time to 0</t>
  </si>
  <si>
    <t>GT FRS</t>
  </si>
  <si>
    <t>Local</t>
  </si>
  <si>
    <t>GT - 4 h</t>
  </si>
  <si>
    <t>Scott</t>
  </si>
  <si>
    <t>Player 7-losses</t>
  </si>
  <si>
    <t>Player 1-picked up</t>
  </si>
  <si>
    <t>Player 2-picked up</t>
  </si>
  <si>
    <t>Player 3-picked up</t>
  </si>
  <si>
    <t>Player 4-picked up</t>
  </si>
  <si>
    <t>Player 5-picked up</t>
  </si>
  <si>
    <t>Player 6-picked up</t>
  </si>
  <si>
    <t>Player 7-picked up</t>
  </si>
  <si>
    <t>Player 1-balance</t>
  </si>
  <si>
    <t>Player 2-balance</t>
  </si>
  <si>
    <t>Player 3-balance</t>
  </si>
  <si>
    <t>Player 4-balance</t>
  </si>
  <si>
    <t>Player 5-balance</t>
  </si>
  <si>
    <t>Player 6-balance</t>
  </si>
  <si>
    <t>Player 7-receives</t>
  </si>
  <si>
    <t>Player 7-balance</t>
  </si>
  <si>
    <t>17:282:13</t>
  </si>
  <si>
    <t>17:282:11</t>
  </si>
  <si>
    <t>17:282:10</t>
  </si>
  <si>
    <t>Real Time</t>
  </si>
  <si>
    <t>Launch Time w/o Proms</t>
  </si>
  <si>
    <t>Launch Time w/ Proms</t>
  </si>
  <si>
    <t>Launch Time w/Dios</t>
  </si>
  <si>
    <t>Returning Fleet Game Time</t>
  </si>
  <si>
    <t>Proms</t>
  </si>
  <si>
    <t>Posies</t>
  </si>
  <si>
    <t>Hercs</t>
  </si>
  <si>
    <t>Arties</t>
  </si>
  <si>
    <t>Hermes</t>
  </si>
  <si>
    <t>dios</t>
  </si>
  <si>
    <t>Rick</t>
  </si>
  <si>
    <t>ESP time stamp</t>
  </si>
  <si>
    <t>Mine time stamp</t>
  </si>
  <si>
    <t>FRS Peak</t>
  </si>
  <si>
    <t>Flight Time</t>
  </si>
  <si>
    <t>Launch Time (UT)</t>
  </si>
  <si>
    <t>Launch Time (local)</t>
  </si>
  <si>
    <t>Systems</t>
  </si>
  <si>
    <t>Probe Time (UT)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</si>
</sst>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17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3" tint="-0.499984740745262"/>
      <name val="Calibri"/>
      <family val="2"/>
    </font>
    <font>
      <b/>
      <i/>
      <sz val="11"/>
      <color theme="3" tint="-0.499984740745262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 tint="0.14999847407452621"/>
      <name val="Arial"/>
      <family val="2"/>
    </font>
    <font>
      <sz val="10"/>
      <color theme="1" tint="0.249977111117893"/>
      <name val="Arial"/>
      <family val="2"/>
    </font>
    <font>
      <u/>
      <sz val="10"/>
      <color theme="10"/>
      <name val="Arial"/>
      <family val="2"/>
    </font>
    <font>
      <b/>
      <i/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1"/>
    <xf numFmtId="0" fontId="13" fillId="0" borderId="1" applyNumberFormat="0" applyFill="0" applyBorder="0" applyAlignment="0" applyProtection="0"/>
  </cellStyleXfs>
  <cellXfs count="73">
    <xf numFmtId="0" fontId="0" fillId="0" borderId="1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5" fillId="0" borderId="0" xfId="0" applyFont="1" applyBorder="1"/>
    <xf numFmtId="3" fontId="6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1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46" fontId="7" fillId="0" borderId="0" xfId="0" applyNumberFormat="1" applyFont="1" applyBorder="1" applyAlignment="1">
      <alignment horizontal="center"/>
    </xf>
    <xf numFmtId="0" fontId="8" fillId="0" borderId="0" xfId="0" applyFont="1" applyBorder="1"/>
    <xf numFmtId="46" fontId="1" fillId="0" borderId="0" xfId="0" applyNumberFormat="1" applyFont="1" applyBorder="1"/>
    <xf numFmtId="2" fontId="1" fillId="0" borderId="0" xfId="0" applyNumberFormat="1" applyFont="1" applyBorder="1"/>
    <xf numFmtId="2" fontId="1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2" fillId="2" borderId="4" xfId="0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0" fontId="0" fillId="0" borderId="1" xfId="0" applyAlignment="1">
      <alignment horizontal="center"/>
    </xf>
    <xf numFmtId="0" fontId="0" fillId="0" borderId="1" xfId="0" quotePrefix="1" applyAlignment="1">
      <alignment horizontal="center"/>
    </xf>
    <xf numFmtId="2" fontId="0" fillId="0" borderId="1" xfId="0" applyNumberFormat="1"/>
    <xf numFmtId="0" fontId="1" fillId="0" borderId="1" xfId="0" applyFont="1"/>
    <xf numFmtId="0" fontId="11" fillId="3" borderId="1" xfId="0" applyFont="1" applyFill="1" applyAlignment="1">
      <alignment horizontal="center"/>
    </xf>
    <xf numFmtId="0" fontId="13" fillId="0" borderId="1" xfId="1"/>
    <xf numFmtId="0" fontId="13" fillId="0" borderId="1" xfId="1" applyAlignment="1">
      <alignment horizontal="center"/>
    </xf>
    <xf numFmtId="0" fontId="12" fillId="4" borderId="1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3" fontId="0" fillId="2" borderId="4" xfId="0" applyNumberFormat="1" applyFill="1" applyBorder="1" applyAlignment="1">
      <alignment horizontal="center"/>
    </xf>
    <xf numFmtId="3" fontId="10" fillId="0" borderId="1" xfId="0" applyNumberFormat="1" applyFont="1" applyAlignment="1">
      <alignment horizontal="center"/>
    </xf>
    <xf numFmtId="0" fontId="5" fillId="0" borderId="1" xfId="0" applyFont="1" applyFill="1" applyBorder="1"/>
    <xf numFmtId="0" fontId="10" fillId="0" borderId="1" xfId="0" applyFont="1"/>
    <xf numFmtId="3" fontId="14" fillId="0" borderId="1" xfId="0" applyNumberFormat="1" applyFont="1" applyAlignment="1">
      <alignment horizontal="center"/>
    </xf>
    <xf numFmtId="0" fontId="15" fillId="0" borderId="1" xfId="0" applyFont="1" applyAlignment="1">
      <alignment horizontal="center"/>
    </xf>
    <xf numFmtId="3" fontId="15" fillId="0" borderId="1" xfId="0" applyNumberFormat="1" applyFont="1" applyAlignment="1">
      <alignment horizontal="center"/>
    </xf>
    <xf numFmtId="3" fontId="0" fillId="0" borderId="1" xfId="0" applyNumberFormat="1"/>
    <xf numFmtId="3" fontId="1" fillId="0" borderId="1" xfId="0" applyNumberFormat="1" applyFont="1"/>
    <xf numFmtId="0" fontId="10" fillId="0" borderId="1" xfId="0" applyFont="1" applyAlignment="1">
      <alignment horizontal="center"/>
    </xf>
    <xf numFmtId="46" fontId="0" fillId="0" borderId="1" xfId="0" applyNumberFormat="1" applyAlignment="1">
      <alignment horizontal="center"/>
    </xf>
    <xf numFmtId="0" fontId="10" fillId="0" borderId="5" xfId="0" quotePrefix="1" applyFont="1" applyBorder="1" applyAlignment="1">
      <alignment horizontal="center"/>
    </xf>
    <xf numFmtId="46" fontId="10" fillId="0" borderId="1" xfId="0" applyNumberFormat="1" applyFont="1" applyAlignment="1">
      <alignment horizontal="center"/>
    </xf>
    <xf numFmtId="46" fontId="16" fillId="0" borderId="1" xfId="0" applyNumberFormat="1" applyFont="1" applyAlignment="1">
      <alignment horizontal="center"/>
    </xf>
    <xf numFmtId="0" fontId="16" fillId="0" borderId="1" xfId="0" applyFont="1"/>
    <xf numFmtId="46" fontId="9" fillId="0" borderId="1" xfId="0" applyNumberFormat="1" applyFont="1" applyAlignment="1">
      <alignment horizontal="center"/>
    </xf>
    <xf numFmtId="0" fontId="9" fillId="0" borderId="1" xfId="0" applyFont="1"/>
    <xf numFmtId="21" fontId="0" fillId="0" borderId="1" xfId="0" applyNumberFormat="1"/>
    <xf numFmtId="46" fontId="1" fillId="0" borderId="0" xfId="0" applyNumberFormat="1" applyFont="1" applyBorder="1" applyAlignment="1">
      <alignment horizontal="right"/>
    </xf>
    <xf numFmtId="21" fontId="1" fillId="0" borderId="1" xfId="0" applyNumberFormat="1" applyFont="1" applyBorder="1" applyAlignment="1">
      <alignment horizontal="right"/>
    </xf>
    <xf numFmtId="0" fontId="0" fillId="0" borderId="1" xfId="0" applyAlignment="1">
      <alignment horizontal="right"/>
    </xf>
    <xf numFmtId="0" fontId="10" fillId="0" borderId="1" xfId="0" applyFont="1" applyAlignment="1">
      <alignment horizontal="right"/>
    </xf>
    <xf numFmtId="21" fontId="10" fillId="0" borderId="4" xfId="0" applyNumberFormat="1" applyFont="1" applyBorder="1"/>
    <xf numFmtId="21" fontId="3" fillId="0" borderId="2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0" fontId="0" fillId="0" borderId="1" xfId="0" applyNumberFormat="1"/>
    <xf numFmtId="21" fontId="10" fillId="0" borderId="1" xfId="0" applyNumberFormat="1" applyFont="1" applyAlignment="1">
      <alignment horizontal="center"/>
    </xf>
    <xf numFmtId="0" fontId="0" fillId="2" borderId="4" xfId="0" applyFill="1" applyBorder="1" applyAlignment="1">
      <alignment horizontal="center"/>
    </xf>
    <xf numFmtId="21" fontId="0" fillId="2" borderId="4" xfId="0" applyNumberFormat="1" applyFill="1" applyBorder="1"/>
    <xf numFmtId="46" fontId="0" fillId="2" borderId="4" xfId="0" applyNumberFormat="1" applyFill="1" applyBorder="1"/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21" fontId="1" fillId="0" borderId="1" xfId="0" applyNumberFormat="1" applyFont="1" applyFill="1" applyBorder="1" applyAlignment="1">
      <alignment horizontal="center"/>
    </xf>
    <xf numFmtId="4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1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topLeftCell="A6" workbookViewId="0">
      <selection activeCell="B16" sqref="B16"/>
    </sheetView>
  </sheetViews>
  <sheetFormatPr baseColWidth="10" defaultColWidth="8.83203125" defaultRowHeight="12" x14ac:dyDescent="0"/>
  <cols>
    <col min="2" max="2" width="11.33203125" customWidth="1"/>
    <col min="13" max="13" width="9" customWidth="1"/>
    <col min="14" max="14" width="11.33203125" customWidth="1"/>
  </cols>
  <sheetData>
    <row r="1" spans="1:17" ht="15.75" customHeight="1">
      <c r="A1" s="64"/>
      <c r="B1" s="65"/>
      <c r="C1" s="65"/>
      <c r="D1" s="65"/>
      <c r="G1" s="2"/>
      <c r="H1" s="2"/>
      <c r="I1" s="2"/>
      <c r="J1" s="3" t="s">
        <v>38</v>
      </c>
      <c r="K1" s="2"/>
      <c r="L1" s="1"/>
      <c r="M1" s="3" t="s">
        <v>39</v>
      </c>
      <c r="N1" s="1"/>
      <c r="O1" s="57">
        <f>C11</f>
        <v>0.82699074074074064</v>
      </c>
      <c r="P1" s="71" t="s">
        <v>79</v>
      </c>
      <c r="Q1" s="72"/>
    </row>
    <row r="2" spans="1:17" ht="15" customHeight="1">
      <c r="A2" s="66"/>
      <c r="B2" s="64"/>
      <c r="C2" s="64"/>
      <c r="D2" s="64"/>
      <c r="G2" s="69" t="s">
        <v>32</v>
      </c>
      <c r="H2" s="70"/>
      <c r="I2" s="2"/>
      <c r="J2" s="13" t="s">
        <v>31</v>
      </c>
      <c r="K2" s="13" t="s">
        <v>27</v>
      </c>
      <c r="L2" s="1"/>
      <c r="M2" s="13" t="s">
        <v>31</v>
      </c>
      <c r="N2" s="13" t="s">
        <v>27</v>
      </c>
      <c r="O2" s="1"/>
      <c r="P2" s="58" t="s">
        <v>31</v>
      </c>
      <c r="Q2" s="58" t="s">
        <v>27</v>
      </c>
    </row>
    <row r="3" spans="1:17" ht="15" customHeight="1">
      <c r="A3" s="66"/>
      <c r="B3" s="64"/>
      <c r="C3" s="64"/>
      <c r="D3" s="64"/>
      <c r="G3" s="11" t="s">
        <v>23</v>
      </c>
      <c r="H3" s="22">
        <v>10</v>
      </c>
      <c r="I3" s="2">
        <v>100</v>
      </c>
      <c r="J3" s="15">
        <f>((((35000/10)*(SQRT(10*5/(2000+(2000*H5*0.1))))+10)/60)/60)/24</f>
        <v>4.2501997008782431E-3</v>
      </c>
      <c r="K3" s="14">
        <f>((((35000/10)*(SQRT(10*5/(100+(100*H3*0.3))))+10)/60)/60)/24</f>
        <v>1.4437926702273819E-2</v>
      </c>
      <c r="L3" s="1"/>
      <c r="M3" s="14">
        <f>O1+(2*J3)</f>
        <v>0.83549114014249715</v>
      </c>
      <c r="N3" s="14">
        <f>O1+(2*K3)</f>
        <v>0.85586659414528832</v>
      </c>
      <c r="O3" s="1"/>
      <c r="P3" s="51">
        <f>$O$1+J3</f>
        <v>0.83124094044161889</v>
      </c>
      <c r="Q3" s="51">
        <f>$O$1+K3</f>
        <v>0.84142866744301448</v>
      </c>
    </row>
    <row r="4" spans="1:17" ht="15" customHeight="1">
      <c r="A4" s="67"/>
      <c r="B4" s="68"/>
      <c r="C4" s="68"/>
      <c r="D4" s="68"/>
      <c r="G4" s="11" t="s">
        <v>22</v>
      </c>
      <c r="H4" s="22">
        <v>11</v>
      </c>
      <c r="I4" s="2">
        <v>90</v>
      </c>
      <c r="J4" s="15">
        <f>((((35000/9)*(SQRT(10*5/(2000+(2000*H5*0.1))))+10)/60)/60)/24</f>
        <v>4.7095840297824085E-3</v>
      </c>
      <c r="K4" s="14">
        <f>((((35000/9)*(SQRT(10*5/(100+(100*H3*0.3))))+10)/60)/60)/24</f>
        <v>1.6029280697999717E-2</v>
      </c>
      <c r="L4" s="1"/>
      <c r="M4" s="14">
        <f>O1+(2*J4)</f>
        <v>0.83640990880030541</v>
      </c>
      <c r="N4" s="14">
        <f>O1+(2*K4)</f>
        <v>0.85904930213674002</v>
      </c>
      <c r="O4" s="1"/>
      <c r="P4" s="51">
        <f t="shared" ref="P4:P12" si="0">$O$1+J4</f>
        <v>0.83170032477052303</v>
      </c>
      <c r="Q4" s="51">
        <f t="shared" ref="Q4:Q12" si="1">$O$1+K4</f>
        <v>0.84302002143874033</v>
      </c>
    </row>
    <row r="5" spans="1:17" ht="15" customHeight="1">
      <c r="A5" s="20"/>
      <c r="B5" s="18"/>
      <c r="G5" s="11" t="s">
        <v>21</v>
      </c>
      <c r="H5" s="22">
        <v>14</v>
      </c>
      <c r="I5" s="2">
        <v>80</v>
      </c>
      <c r="J5" s="15">
        <f>((((35000/8)*(SQRT(10*5/(2000+(2000*H5*0.1))))+10)/60)/60)/24</f>
        <v>5.2838144409126167E-3</v>
      </c>
      <c r="K5" s="14">
        <f>((((35000/8)*(SQRT(10*5/(100+(100*H3*0.3))))+10)/60)/60)/24</f>
        <v>1.8018473192657095E-2</v>
      </c>
      <c r="L5" s="1"/>
      <c r="M5" s="14">
        <f>O1+(2*J5)</f>
        <v>0.83755836962256591</v>
      </c>
      <c r="N5" s="14">
        <f>O1+(2*K5)</f>
        <v>0.86302768712605482</v>
      </c>
      <c r="O5" s="1"/>
      <c r="P5" s="51">
        <f t="shared" si="0"/>
        <v>0.83227455518165327</v>
      </c>
      <c r="Q5" s="51">
        <f t="shared" si="1"/>
        <v>0.84500921393339778</v>
      </c>
    </row>
    <row r="6" spans="1:17" ht="15" customHeight="1">
      <c r="A6" s="20"/>
      <c r="B6" s="20"/>
      <c r="C6" s="20"/>
      <c r="D6" s="20"/>
      <c r="E6" s="1"/>
      <c r="G6" s="2"/>
      <c r="H6" s="4"/>
      <c r="I6" s="2">
        <v>70</v>
      </c>
      <c r="J6" s="15">
        <f>((((35000/7)*(SQRT(10*5/(2000+(2000*H5*0.1))))+10)/60)/60)/24</f>
        <v>6.0221106837943161E-3</v>
      </c>
      <c r="K6" s="14">
        <f>((((35000/7)*(SQRT(10*5/(100+(100*H3*0.3))))+10)/60)/60)/24</f>
        <v>2.0576006400073715E-2</v>
      </c>
      <c r="L6" s="1"/>
      <c r="M6" s="14">
        <f>O1+(2*J6)</f>
        <v>0.83903496210832929</v>
      </c>
      <c r="N6" s="14">
        <f>O1+(2*K6)</f>
        <v>0.8681427535408881</v>
      </c>
      <c r="O6" s="1"/>
      <c r="P6" s="51">
        <f t="shared" si="0"/>
        <v>0.83301285142453496</v>
      </c>
      <c r="Q6" s="51">
        <f t="shared" si="1"/>
        <v>0.84756674714081437</v>
      </c>
    </row>
    <row r="7" spans="1:17" ht="15" customHeight="1">
      <c r="B7" s="20"/>
      <c r="C7" s="20"/>
      <c r="D7" s="20"/>
      <c r="E7" s="1"/>
      <c r="G7" s="69" t="s">
        <v>33</v>
      </c>
      <c r="H7" s="70"/>
      <c r="I7" s="2">
        <v>60</v>
      </c>
      <c r="J7" s="15">
        <f>((((35000/6)*(SQRT(10*5/(2000+(2000*H5*0.1))))+10)/60)/60)/24</f>
        <v>7.0065056743032423E-3</v>
      </c>
      <c r="K7" s="14">
        <f>((((35000/6)*(SQRT(10*5/(100+(100*H3*0.3))))+10)/60)/60)/24</f>
        <v>2.3986050676629206E-2</v>
      </c>
      <c r="L7" s="1"/>
      <c r="M7" s="14">
        <f>O1+(2*J7)</f>
        <v>0.84100375208934708</v>
      </c>
      <c r="N7" s="14">
        <f>O1+(2*K7)</f>
        <v>0.87496284209399899</v>
      </c>
      <c r="O7" s="1"/>
      <c r="P7" s="51">
        <f t="shared" si="0"/>
        <v>0.83399724641504391</v>
      </c>
      <c r="Q7" s="51">
        <f t="shared" si="1"/>
        <v>0.85097679141736982</v>
      </c>
    </row>
    <row r="8" spans="1:17" ht="15" customHeight="1">
      <c r="B8" s="19"/>
      <c r="G8" s="11" t="s">
        <v>34</v>
      </c>
      <c r="H8" s="12">
        <v>13</v>
      </c>
      <c r="I8" s="2">
        <v>50</v>
      </c>
      <c r="J8" s="15">
        <f>((((35000/5)*(SQRT(10*5/(2000+(2000*H5*0.1))))+10)/60)/60)/24</f>
        <v>8.3846586610157436E-3</v>
      </c>
      <c r="K8" s="14">
        <f>((((35000/5)*(SQRT(10*5/(100+(100*H3*0.3))))+10)/60)/60)/24</f>
        <v>2.8760112663806903E-2</v>
      </c>
      <c r="L8" s="1"/>
      <c r="M8" s="14">
        <f>O1+(2*J8)</f>
        <v>0.8437600580627721</v>
      </c>
      <c r="N8" s="14">
        <f>O1+(2*K8)</f>
        <v>0.88451096606835444</v>
      </c>
      <c r="O8" s="1"/>
      <c r="P8" s="51">
        <f t="shared" si="0"/>
        <v>0.83537539940175642</v>
      </c>
      <c r="Q8" s="51">
        <f t="shared" si="1"/>
        <v>0.85575085340454748</v>
      </c>
    </row>
    <row r="9" spans="1:17" ht="15" customHeight="1">
      <c r="B9" s="52" t="s">
        <v>77</v>
      </c>
      <c r="C9" s="62">
        <v>0.85749999999999993</v>
      </c>
      <c r="D9" s="51">
        <v>0.98135416666666664</v>
      </c>
      <c r="E9" s="17" t="s">
        <v>41</v>
      </c>
      <c r="G9" s="11" t="s">
        <v>35</v>
      </c>
      <c r="H9" s="12">
        <v>13</v>
      </c>
      <c r="I9" s="2">
        <v>40</v>
      </c>
      <c r="J9" s="15">
        <f>((((35000/4)*(SQRT(10*5/(2000+(2000*H5*0.1))))+10)/60)/60)/24</f>
        <v>1.0451888141084493E-2</v>
      </c>
      <c r="K9" s="14">
        <f>((((35000/4)*(SQRT(10*5/(100+(100*H3*0.3))))+10)/60)/60)/24</f>
        <v>3.5921205644573448E-2</v>
      </c>
      <c r="L9" s="1"/>
      <c r="M9" s="14">
        <f>O1+(2*J9)</f>
        <v>0.84789451702290963</v>
      </c>
      <c r="N9" s="14">
        <f>O1+(2*K9)</f>
        <v>0.89883315202988756</v>
      </c>
      <c r="O9" s="1"/>
      <c r="P9" s="51">
        <f t="shared" si="0"/>
        <v>0.83744262888182508</v>
      </c>
      <c r="Q9" s="51">
        <f t="shared" si="1"/>
        <v>0.8629119463853141</v>
      </c>
    </row>
    <row r="10" spans="1:17" ht="15" customHeight="1">
      <c r="A10" s="1"/>
      <c r="B10" s="53" t="s">
        <v>78</v>
      </c>
      <c r="C10" s="63">
        <v>3.050925925925926E-2</v>
      </c>
      <c r="E10" s="17" t="s">
        <v>42</v>
      </c>
      <c r="G10" s="11" t="s">
        <v>36</v>
      </c>
      <c r="H10" s="12">
        <v>13</v>
      </c>
      <c r="I10" s="2">
        <v>30</v>
      </c>
      <c r="J10" s="15">
        <f>((((35000/3)*(SQRT(10*5/(2000+(2000*H5*0.1))))+10)/60)/60)/24</f>
        <v>1.3897270607865747E-2</v>
      </c>
      <c r="K10" s="14">
        <f>((((35000/3)*(SQRT(10*5/(100+(100*H3*0.3))))+10)/60)/60)/24</f>
        <v>4.7856360612517669E-2</v>
      </c>
      <c r="L10" s="1"/>
      <c r="M10" s="14">
        <f>O1+(2*J10)</f>
        <v>0.85478528195647208</v>
      </c>
      <c r="N10" s="14">
        <f>O1+(2*K10)</f>
        <v>0.92270346196577602</v>
      </c>
      <c r="O10" s="1"/>
      <c r="P10" s="51">
        <f t="shared" si="0"/>
        <v>0.84088801134860636</v>
      </c>
      <c r="Q10" s="51">
        <f t="shared" si="1"/>
        <v>0.87484710135325827</v>
      </c>
    </row>
    <row r="11" spans="1:17" ht="15" customHeight="1">
      <c r="B11" s="55" t="s">
        <v>40</v>
      </c>
      <c r="C11" s="56">
        <f>C9-C10</f>
        <v>0.82699074074074064</v>
      </c>
      <c r="D11" s="51">
        <f>D9-C9</f>
        <v>0.12385416666666671</v>
      </c>
      <c r="E11" s="51">
        <f>D9-C11</f>
        <v>0.154363425925926</v>
      </c>
      <c r="G11" s="2"/>
      <c r="H11" s="2"/>
      <c r="I11" s="2">
        <v>20</v>
      </c>
      <c r="J11" s="15">
        <f>((((35000/2)*(SQRT(10*5/(2000+(2000*H5*0.1))))+10)/60)/60)/24</f>
        <v>2.0788035541428246E-2</v>
      </c>
      <c r="K11" s="14">
        <f>((((35000/2)*(SQRT(10*5/(100+(100*H3*0.3))))+10)/60)/60)/24</f>
        <v>7.1726670548406146E-2</v>
      </c>
      <c r="L11" s="1"/>
      <c r="M11" s="14">
        <f>O1+(2*J11)</f>
        <v>0.86856681182359718</v>
      </c>
      <c r="N11" s="14">
        <f>O1+(2*K11)</f>
        <v>0.97044408183755293</v>
      </c>
      <c r="O11" s="1"/>
      <c r="P11" s="51">
        <f t="shared" si="0"/>
        <v>0.84777877628216891</v>
      </c>
      <c r="Q11" s="51">
        <f t="shared" si="1"/>
        <v>0.89871741128914673</v>
      </c>
    </row>
    <row r="12" spans="1:17" ht="15" customHeight="1">
      <c r="D12" s="26"/>
      <c r="E12" s="51"/>
      <c r="G12" s="2"/>
      <c r="H12" s="2"/>
      <c r="I12" s="2">
        <v>10</v>
      </c>
      <c r="J12" s="15">
        <f>((((35000/1)*(SQRT(10*5/(2000+(2000*H5*0.1))))+10)/60)/60)/24</f>
        <v>4.1460330342115756E-2</v>
      </c>
      <c r="K12" s="14">
        <f>((((35000/1)*(SQRT(10*5/(100+(100*H3*0.3))))+10)/60)/60)/24</f>
        <v>0.14333760035607157</v>
      </c>
      <c r="L12" s="1"/>
      <c r="M12" s="14">
        <f>O1+(2*J12)</f>
        <v>0.90991140142497218</v>
      </c>
      <c r="N12" s="14">
        <f>O1+(2*K12)</f>
        <v>1.1136659414528838</v>
      </c>
      <c r="O12" s="1"/>
      <c r="P12" s="51">
        <f t="shared" si="0"/>
        <v>0.86845107108285635</v>
      </c>
      <c r="Q12" s="51">
        <f t="shared" si="1"/>
        <v>0.97032834109681221</v>
      </c>
    </row>
    <row r="13" spans="1:17" ht="15" customHeight="1">
      <c r="G13" s="2"/>
      <c r="H13" s="2"/>
      <c r="I13" s="2"/>
      <c r="J13" s="2"/>
      <c r="K13" s="2"/>
      <c r="L13" s="1"/>
      <c r="M13" s="1"/>
      <c r="N13" s="1"/>
      <c r="O13" s="1"/>
    </row>
    <row r="14" spans="1:17" ht="15" customHeight="1">
      <c r="C14" s="51"/>
      <c r="G14" s="2"/>
      <c r="H14" s="2"/>
      <c r="I14" s="2"/>
      <c r="J14" s="3" t="s">
        <v>37</v>
      </c>
      <c r="K14" s="2"/>
      <c r="L14" s="1"/>
      <c r="M14" s="3" t="s">
        <v>39</v>
      </c>
      <c r="N14" s="1"/>
      <c r="O14" s="1"/>
      <c r="P14" s="71" t="s">
        <v>79</v>
      </c>
      <c r="Q14" s="72"/>
    </row>
    <row r="15" spans="1:17" ht="15" customHeight="1">
      <c r="C15" s="59"/>
      <c r="G15" s="2"/>
      <c r="H15" s="2"/>
      <c r="I15" s="4"/>
      <c r="J15" s="13" t="s">
        <v>31</v>
      </c>
      <c r="K15" s="13" t="s">
        <v>27</v>
      </c>
      <c r="L15" s="1"/>
      <c r="M15" s="13" t="s">
        <v>31</v>
      </c>
      <c r="N15" s="13" t="s">
        <v>27</v>
      </c>
      <c r="O15" s="1"/>
      <c r="P15" s="58" t="s">
        <v>31</v>
      </c>
      <c r="Q15" s="58" t="s">
        <v>27</v>
      </c>
    </row>
    <row r="16" spans="1:17" ht="15" customHeight="1">
      <c r="G16" s="4"/>
      <c r="H16" s="4"/>
      <c r="I16" s="2">
        <v>100</v>
      </c>
      <c r="J16" s="14">
        <f>((((35000/10)*(SQRT(10*1005/(2000+(2000*H5*0.1))))+10)/60)/60)/24</f>
        <v>5.8731813020494482E-2</v>
      </c>
      <c r="K16" s="14">
        <f>((((35000/10)*(SQRT(10*1005/(100+(100*H3*0.3))))+10)/60)/60)/24</f>
        <v>0.20316777139806708</v>
      </c>
      <c r="L16" s="1"/>
      <c r="M16" s="14">
        <f>O1+(2*J16)</f>
        <v>0.94445436678172956</v>
      </c>
      <c r="N16" s="14">
        <f>O1+(2*K16)</f>
        <v>1.2333262835368748</v>
      </c>
      <c r="O16" s="1"/>
      <c r="P16" s="51">
        <f>$O$1+J16</f>
        <v>0.8857225537612351</v>
      </c>
      <c r="Q16" s="51">
        <f>$O$1+K16</f>
        <v>1.0301585121388077</v>
      </c>
    </row>
    <row r="17" spans="1:17" ht="15" customHeight="1">
      <c r="G17" s="4"/>
      <c r="H17" s="4"/>
      <c r="I17" s="2">
        <v>90</v>
      </c>
      <c r="J17" s="14">
        <f>((((35000/9)*(SQRT(10*1005/(2000+(2000*H5*0.1))))+10)/60)/60)/24</f>
        <v>6.5244709940467119E-2</v>
      </c>
      <c r="K17" s="14">
        <f>((((35000/9)*(SQRT(10*1005/(100+(100*H3*0.3))))+10)/60)/60)/24</f>
        <v>0.22572910813777</v>
      </c>
      <c r="L17" s="1"/>
      <c r="M17" s="14">
        <f>O1+(2*J17)</f>
        <v>0.95748016062167485</v>
      </c>
      <c r="N17" s="14">
        <f>O1+(2*K17)</f>
        <v>1.2784489570162807</v>
      </c>
      <c r="O17" s="1"/>
      <c r="P17" s="51">
        <f t="shared" ref="P17:P25" si="2">$O$1+J17</f>
        <v>0.8922354506812078</v>
      </c>
      <c r="Q17" s="51">
        <f t="shared" ref="Q17:Q25" si="3">$O$1+K17</f>
        <v>1.0527198488785106</v>
      </c>
    </row>
    <row r="18" spans="1:17" ht="15" customHeight="1">
      <c r="G18" s="4"/>
      <c r="H18" s="4"/>
      <c r="I18" s="2">
        <v>80</v>
      </c>
      <c r="J18" s="14">
        <f>((((35000/8)*(SQRT(10*1005/(2000+(2000*H5*0.1))))+10)/60)/60)/24</f>
        <v>7.3385831090432924E-2</v>
      </c>
      <c r="K18" s="14">
        <f>((((35000/8)*(SQRT(10*1005/(100+(100*H3*0.3))))+10)/60)/60)/24</f>
        <v>0.25393077906239864</v>
      </c>
      <c r="L18" s="1"/>
      <c r="M18" s="14">
        <f>O1+(2*J18)</f>
        <v>0.97376240292160654</v>
      </c>
      <c r="N18" s="14">
        <f>O1+(2*K18)</f>
        <v>1.3348522988655378</v>
      </c>
      <c r="O18" s="1"/>
      <c r="P18" s="51">
        <f t="shared" si="2"/>
        <v>0.90037657183117359</v>
      </c>
      <c r="Q18" s="51">
        <f t="shared" si="3"/>
        <v>1.0809215198031392</v>
      </c>
    </row>
    <row r="19" spans="1:17" ht="15" customHeight="1">
      <c r="G19" s="4"/>
      <c r="H19" s="4"/>
      <c r="I19" s="2">
        <v>70</v>
      </c>
      <c r="J19" s="14">
        <f>((((35000/7)*(SQRT(10*1005/(2000+(2000*H5*0.1))))+10)/60)/60)/24</f>
        <v>8.3852986854674669E-2</v>
      </c>
      <c r="K19" s="14">
        <f>((((35000/7)*(SQRT(10*1005/(100+(100*H3*0.3))))+10)/60)/60)/24</f>
        <v>0.29019007025120691</v>
      </c>
      <c r="L19" s="1"/>
      <c r="M19" s="14">
        <f>O1+(2*J19)</f>
        <v>0.99469671445009</v>
      </c>
      <c r="N19" s="14">
        <f>O1+(2*K19)</f>
        <v>1.4073708812431545</v>
      </c>
      <c r="O19" s="1"/>
      <c r="P19" s="51">
        <f t="shared" si="2"/>
        <v>0.91084372759541532</v>
      </c>
      <c r="Q19" s="51">
        <f t="shared" si="3"/>
        <v>1.1171808109919477</v>
      </c>
    </row>
    <row r="20" spans="1:17" ht="15" customHeight="1">
      <c r="G20" s="4"/>
      <c r="H20" s="4"/>
      <c r="I20" s="2">
        <v>60</v>
      </c>
      <c r="J20" s="14">
        <f>((((35000/6)*(SQRT(10*1005/(2000+(2000*H5*0.1))))+10)/60)/60)/24</f>
        <v>9.780919454033031E-2</v>
      </c>
      <c r="K20" s="14">
        <f>((((35000/6)*(SQRT(10*1005/(100+(100*H3*0.3))))+10)/60)/60)/24</f>
        <v>0.33853579183628463</v>
      </c>
      <c r="L20" s="1"/>
      <c r="M20" s="14">
        <f>O1+(2*J20)</f>
        <v>1.0226091298214013</v>
      </c>
      <c r="N20" s="14">
        <f>O1+(2*K20)</f>
        <v>1.5040623244133098</v>
      </c>
      <c r="O20" s="1"/>
      <c r="P20" s="51">
        <f t="shared" si="2"/>
        <v>0.92479993528107096</v>
      </c>
      <c r="Q20" s="51">
        <f t="shared" si="3"/>
        <v>1.1655265325770252</v>
      </c>
    </row>
    <row r="21" spans="1:17" ht="15" customHeight="1">
      <c r="G21" s="4"/>
      <c r="H21" s="4"/>
      <c r="I21" s="2">
        <v>50</v>
      </c>
      <c r="J21" s="14">
        <f>((((35000/5)*(SQRT(10*1005/(2000+(2000*H5*0.1))))+10)/60)/60)/24</f>
        <v>0.11734788530024821</v>
      </c>
      <c r="K21" s="14">
        <f>((((35000/5)*(SQRT(10*1005/(100+(100*H3*0.3))))+10)/60)/60)/24</f>
        <v>0.40621980205539332</v>
      </c>
      <c r="L21" s="1"/>
      <c r="M21" s="14">
        <f>O1+(2*J21)</f>
        <v>1.061686511341237</v>
      </c>
      <c r="N21" s="14">
        <f>O1+(2*K21)</f>
        <v>1.6394303448515273</v>
      </c>
      <c r="O21" s="1"/>
      <c r="P21" s="51">
        <f t="shared" si="2"/>
        <v>0.94433862604098884</v>
      </c>
      <c r="Q21" s="51">
        <f t="shared" si="3"/>
        <v>1.233210542796134</v>
      </c>
    </row>
    <row r="22" spans="1:17" ht="15" customHeight="1">
      <c r="G22" s="4"/>
      <c r="H22" s="4"/>
      <c r="I22" s="2">
        <v>40</v>
      </c>
      <c r="J22" s="14">
        <f>((((35000/4)*(SQRT(10*1005/(2000+(2000*H5*0.1))))+10)/60)/60)/24</f>
        <v>0.1466559214401251</v>
      </c>
      <c r="K22" s="14">
        <f>((((35000/4)*(SQRT(10*1005/(100+(100*H3*0.3))))+10)/60)/60)/24</f>
        <v>0.50774581738405655</v>
      </c>
      <c r="L22" s="1"/>
      <c r="M22" s="14">
        <f>O1+(2*J22)</f>
        <v>1.1203025836209908</v>
      </c>
      <c r="N22" s="14">
        <f>O1+(2*K22)</f>
        <v>1.8424823755088537</v>
      </c>
      <c r="O22" s="1"/>
      <c r="P22" s="51">
        <f t="shared" si="2"/>
        <v>0.97364666218086571</v>
      </c>
      <c r="Q22" s="51">
        <f t="shared" si="3"/>
        <v>1.3347365581247972</v>
      </c>
    </row>
    <row r="23" spans="1:17" ht="15" customHeight="1">
      <c r="G23" s="4"/>
      <c r="H23" s="4"/>
      <c r="I23" s="2">
        <v>30</v>
      </c>
      <c r="J23" s="14">
        <f>((((35000/3)*(SQRT(10*1005/(2000+(2000*H5*0.1))))+10)/60)/60)/24</f>
        <v>0.1955026483399199</v>
      </c>
      <c r="K23" s="16">
        <f>((((35000/3)*(SQRT(10*1005/(100+(100*H3*0.3))))+10)/60)/60)/24</f>
        <v>0.67695584293182842</v>
      </c>
      <c r="L23" s="1"/>
      <c r="M23" s="14">
        <f>O1+(2*J23)</f>
        <v>1.2179960374205805</v>
      </c>
      <c r="N23" s="14">
        <f>O1+(2*K23)</f>
        <v>2.1809024266043977</v>
      </c>
      <c r="O23" s="1"/>
      <c r="P23" s="51">
        <f t="shared" si="2"/>
        <v>1.0224933890806605</v>
      </c>
      <c r="Q23" s="51">
        <f t="shared" si="3"/>
        <v>1.5039465836725689</v>
      </c>
    </row>
    <row r="24" spans="1:17" ht="15" customHeight="1">
      <c r="G24" s="4"/>
      <c r="H24" s="4"/>
      <c r="I24" s="2">
        <v>20</v>
      </c>
      <c r="J24" s="14">
        <f>((((35000/2)*(SQRT(10*1005/(2000+(2000*H5*0.1))))+10)/60)/60)/24</f>
        <v>0.29319610213950947</v>
      </c>
      <c r="K24" s="16">
        <f>((((35000/2)*(SQRT(10*1005/(100+(100*H3*0.3))))+10)/60)/60)/24</f>
        <v>1.0153758940273723</v>
      </c>
      <c r="L24" s="1"/>
      <c r="M24" s="14">
        <f>O1+(2*J24)</f>
        <v>1.4133829450197597</v>
      </c>
      <c r="N24" s="14">
        <f>O1+(2*K24)</f>
        <v>2.8577425287954852</v>
      </c>
      <c r="O24" s="1"/>
      <c r="P24" s="51">
        <f t="shared" si="2"/>
        <v>1.1201868428802502</v>
      </c>
      <c r="Q24" s="51">
        <f t="shared" si="3"/>
        <v>1.8423666347681129</v>
      </c>
    </row>
    <row r="25" spans="1:17" ht="15" customHeight="1">
      <c r="G25" s="4"/>
      <c r="H25" s="4"/>
      <c r="I25" s="2">
        <v>10</v>
      </c>
      <c r="J25" s="14">
        <f>((((35000/1)*(SQRT(10*1005/(2000+(2000*H5*0.1))))+10)/60)/60)/24</f>
        <v>0.58627646353827823</v>
      </c>
      <c r="K25" s="16">
        <f>((((35000/1)*(SQRT(10*1005/(100+(100*H3*0.3))))+10)/60)/60)/24</f>
        <v>2.0306360473140042</v>
      </c>
      <c r="L25" s="1"/>
      <c r="M25" s="14">
        <f>O1+(2*J25)</f>
        <v>1.9995436678172971</v>
      </c>
      <c r="N25" s="14">
        <f>O1+(2*K25)</f>
        <v>4.8882628353687494</v>
      </c>
      <c r="O25" s="1"/>
      <c r="P25" s="51">
        <f t="shared" si="2"/>
        <v>1.4132672042790189</v>
      </c>
      <c r="Q25" s="51">
        <f t="shared" si="3"/>
        <v>2.8576267880547448</v>
      </c>
    </row>
    <row r="27" spans="1:17">
      <c r="M27" s="21" t="s">
        <v>43</v>
      </c>
      <c r="N27" s="21" t="s">
        <v>44</v>
      </c>
      <c r="O27" s="62">
        <v>0.16666666666666666</v>
      </c>
    </row>
    <row r="28" spans="1:17" ht="14">
      <c r="A28" s="69" t="s">
        <v>32</v>
      </c>
      <c r="B28" s="70"/>
      <c r="C28" s="43" t="s">
        <v>83</v>
      </c>
      <c r="D28" s="43"/>
      <c r="E28" s="43" t="s">
        <v>28</v>
      </c>
      <c r="I28" s="43" t="s">
        <v>80</v>
      </c>
      <c r="J28" s="43"/>
      <c r="K28" s="43" t="s">
        <v>81</v>
      </c>
      <c r="L28" s="43"/>
      <c r="M28" s="43" t="s">
        <v>84</v>
      </c>
      <c r="N28" s="37"/>
    </row>
    <row r="29" spans="1:17" ht="14">
      <c r="A29" s="11" t="s">
        <v>23</v>
      </c>
      <c r="B29" s="22">
        <v>11</v>
      </c>
      <c r="C29" s="61">
        <v>2</v>
      </c>
      <c r="D29" s="54">
        <v>100</v>
      </c>
      <c r="E29" s="14">
        <f>((((35000/10)*(SQRT(10*(2795+(95*($C$29-1)))/(100000000+(100000000*$B$31*0.1))))+10)/60)/60)/24</f>
        <v>5.4282793449409166E-4</v>
      </c>
      <c r="H29" s="48" t="s">
        <v>70</v>
      </c>
      <c r="I29" s="60">
        <v>4.7083333333333331E-2</v>
      </c>
      <c r="J29" s="43"/>
      <c r="K29" s="60">
        <f>N12-I29</f>
        <v>1.0665826081195504</v>
      </c>
      <c r="L29" s="43"/>
      <c r="M29" s="60">
        <f>K29-E36</f>
        <v>1.0650432433996317</v>
      </c>
      <c r="N29" s="37"/>
    </row>
    <row r="30" spans="1:17" ht="14">
      <c r="A30" s="11" t="s">
        <v>22</v>
      </c>
      <c r="B30" s="22">
        <v>11</v>
      </c>
      <c r="D30">
        <v>90</v>
      </c>
      <c r="E30" s="14">
        <f>((((35000/9)*(SQRT(10*(2795+(95*($C$29-1)))/(100000000+(100000000*$B$31*0.1))))+10)/60)/60)/24</f>
        <v>5.9028206713335283E-4</v>
      </c>
      <c r="H30" s="48" t="s">
        <v>31</v>
      </c>
      <c r="I30" s="60">
        <v>0.10694444444444444</v>
      </c>
      <c r="J30" s="43"/>
      <c r="K30" s="60">
        <f>N12-I30</f>
        <v>1.0067214970084393</v>
      </c>
      <c r="L30" s="43"/>
      <c r="M30" s="24"/>
      <c r="N30" s="37"/>
    </row>
    <row r="31" spans="1:17" ht="14">
      <c r="A31" s="11" t="s">
        <v>21</v>
      </c>
      <c r="B31" s="22">
        <v>16</v>
      </c>
      <c r="D31">
        <v>80</v>
      </c>
      <c r="E31" s="14">
        <f>((((35000/8)*(SQRT(10*(2795+(95*($C$29-1)))/(100000000+(100000000*$B$31*0.1))))+10)/60)/60)/24</f>
        <v>6.4959973293242932E-4</v>
      </c>
      <c r="H31" s="48" t="s">
        <v>73</v>
      </c>
      <c r="I31" s="60">
        <v>3.8321759259259257E-2</v>
      </c>
      <c r="K31" s="60">
        <f>N12-I31</f>
        <v>1.0753441821936245</v>
      </c>
      <c r="M31" s="24"/>
    </row>
    <row r="32" spans="1:17" ht="14">
      <c r="D32">
        <v>70</v>
      </c>
      <c r="E32" s="14">
        <f>((((35000/7)*(SQRT(10*(2795+(95*($C$29-1)))/(100000000+(100000000*$B$31*0.1))))+10)/60)/60)/24</f>
        <v>7.2586530324552766E-4</v>
      </c>
    </row>
    <row r="33" spans="4:13" ht="14">
      <c r="D33">
        <v>60</v>
      </c>
      <c r="E33" s="14">
        <f>((((35000/6)*(SQRT(10*(2795+(95*($C$29-1)))/(100000000+(100000000*$B$31*0.1))))+10)/60)/60)/24</f>
        <v>8.2755273032965868E-4</v>
      </c>
      <c r="K33" s="43" t="s">
        <v>82</v>
      </c>
      <c r="M33" s="24"/>
    </row>
    <row r="34" spans="4:13" ht="14">
      <c r="D34">
        <v>50</v>
      </c>
      <c r="E34" s="14">
        <f>((((35000/5)*(SQRT(10*(2795+(95*($C$29-1)))/(100000000+(100000000*$B$31*0.1))))+10)/60)/60)/24</f>
        <v>9.6991512824744252E-4</v>
      </c>
      <c r="J34" s="48" t="s">
        <v>70</v>
      </c>
      <c r="K34" s="60">
        <f>K29-O27</f>
        <v>0.89991594145288378</v>
      </c>
      <c r="M34" s="60">
        <f>M29-O27</f>
        <v>0.89837657673296512</v>
      </c>
    </row>
    <row r="35" spans="4:13" ht="14">
      <c r="D35">
        <v>40</v>
      </c>
      <c r="E35" s="14">
        <f>((((35000/4)*(SQRT(10*(2795+(95*($C$29-1)))/(100000000+(100000000*$B$31*0.1))))+10)/60)/60)/24</f>
        <v>1.1834587251241179E-3</v>
      </c>
      <c r="J35" s="48" t="s">
        <v>31</v>
      </c>
      <c r="K35" s="60">
        <f>K30-O27</f>
        <v>0.84005483034177264</v>
      </c>
    </row>
    <row r="36" spans="4:13" ht="14">
      <c r="D36">
        <v>30</v>
      </c>
      <c r="E36" s="14">
        <f>((((35000/3)*(SQRT(10*(2795+(95*($C$29-1)))/(100000000+(100000000*$B$31*0.1))))+10)/60)/60)/24</f>
        <v>1.5393647199185767E-3</v>
      </c>
      <c r="J36" s="48" t="s">
        <v>73</v>
      </c>
      <c r="K36" s="60">
        <f>K31-O27</f>
        <v>0.90867751552695786</v>
      </c>
    </row>
    <row r="37" spans="4:13" ht="14">
      <c r="D37">
        <v>20</v>
      </c>
      <c r="E37" s="14">
        <f>((((35000/2)*(SQRT(10*(2795+(95*($C$29-1)))/(100000000+(100000000*$B$31*0.1))))+10)/60)/60)/24</f>
        <v>2.2511767095074946E-3</v>
      </c>
    </row>
    <row r="38" spans="4:13" ht="14">
      <c r="D38">
        <v>10</v>
      </c>
      <c r="E38" s="14">
        <f>((((35000/1)*(SQRT(10*(2795+(95*($C$29-1)))/(100000000+(100000000*$B$31*0.1))))+10)/60)/60)/24</f>
        <v>4.3866126782742491E-3</v>
      </c>
    </row>
  </sheetData>
  <mergeCells count="5">
    <mergeCell ref="G2:H2"/>
    <mergeCell ref="G7:H7"/>
    <mergeCell ref="P1:Q1"/>
    <mergeCell ref="P14:Q14"/>
    <mergeCell ref="A28:B28"/>
  </mergeCells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pane ySplit="1" topLeftCell="A8" activePane="bottomLeft" state="frozen"/>
      <selection pane="bottomLeft" activeCell="B10" sqref="B10"/>
    </sheetView>
  </sheetViews>
  <sheetFormatPr baseColWidth="10" defaultColWidth="8.83203125" defaultRowHeight="12" x14ac:dyDescent="0"/>
  <cols>
    <col min="1" max="1" width="10.33203125" style="24" customWidth="1"/>
    <col min="2" max="3" width="9.6640625" style="24" customWidth="1"/>
  </cols>
  <sheetData>
    <row r="1" spans="1:4">
      <c r="A1" s="45" t="s">
        <v>62</v>
      </c>
      <c r="B1" s="45" t="s">
        <v>63</v>
      </c>
      <c r="C1" s="45" t="s">
        <v>64</v>
      </c>
    </row>
    <row r="2" spans="1:4">
      <c r="A2" s="25"/>
      <c r="B2" s="25"/>
      <c r="C2" s="25"/>
    </row>
    <row r="3" spans="1:4">
      <c r="A3" s="46">
        <v>0.92396990740740748</v>
      </c>
      <c r="B3" s="46">
        <v>0.91434027777777782</v>
      </c>
      <c r="C3" s="46">
        <v>0.913599537037037</v>
      </c>
      <c r="D3" s="37" t="s">
        <v>69</v>
      </c>
    </row>
    <row r="4" spans="1:4">
      <c r="A4" s="44">
        <v>0.16666666666666666</v>
      </c>
      <c r="B4" s="44">
        <v>0.16666666666666666</v>
      </c>
      <c r="C4" s="44">
        <v>0.16666666666666666</v>
      </c>
    </row>
    <row r="5" spans="1:4">
      <c r="A5" s="49">
        <f>A3-A4</f>
        <v>0.75730324074074085</v>
      </c>
      <c r="B5" s="49">
        <f t="shared" ref="B5:C5" si="0">B3-B4</f>
        <v>0.74767361111111119</v>
      </c>
      <c r="C5" s="49">
        <f t="shared" si="0"/>
        <v>0.74693287037037037</v>
      </c>
      <c r="D5" s="50" t="s">
        <v>65</v>
      </c>
    </row>
    <row r="6" spans="1:4">
      <c r="A6" s="44">
        <v>4.4467592592592593E-2</v>
      </c>
      <c r="B6" s="44">
        <v>4.4467592592592593E-2</v>
      </c>
      <c r="C6" s="44">
        <v>4.4467592592592593E-2</v>
      </c>
      <c r="D6" s="27"/>
    </row>
    <row r="7" spans="1:4">
      <c r="A7" s="47">
        <f>A5-A6</f>
        <v>0.71283564814814826</v>
      </c>
      <c r="B7" s="47">
        <f t="shared" ref="B7:C7" si="1">B5-B6</f>
        <v>0.70320601851851861</v>
      </c>
      <c r="C7" s="47">
        <f t="shared" si="1"/>
        <v>0.70246527777777779</v>
      </c>
      <c r="D7" s="48" t="s">
        <v>66</v>
      </c>
    </row>
    <row r="8" spans="1:4">
      <c r="A8" s="44">
        <v>5.3587962962962969E-2</v>
      </c>
      <c r="B8" s="44">
        <v>5.3587962962962969E-2</v>
      </c>
      <c r="C8" s="44">
        <v>5.3587962962962969E-2</v>
      </c>
      <c r="D8" s="27"/>
    </row>
    <row r="9" spans="1:4">
      <c r="A9" s="47">
        <f>A5-A8</f>
        <v>0.70371527777777787</v>
      </c>
      <c r="B9" s="47">
        <f t="shared" ref="B9:C9" si="2">B5-B8</f>
        <v>0.69408564814814822</v>
      </c>
      <c r="C9" s="47">
        <f t="shared" si="2"/>
        <v>0.6933449074074074</v>
      </c>
      <c r="D9" s="48" t="s">
        <v>67</v>
      </c>
    </row>
    <row r="10" spans="1:4">
      <c r="A10" s="44">
        <v>0.11098379629629629</v>
      </c>
      <c r="B10" s="44">
        <v>0.11098379629629629</v>
      </c>
      <c r="C10" s="44">
        <v>0.11098379629629629</v>
      </c>
      <c r="D10" s="27"/>
    </row>
    <row r="11" spans="1:4">
      <c r="A11" s="47">
        <f>A5-A10</f>
        <v>0.64631944444444456</v>
      </c>
      <c r="B11" s="47">
        <f t="shared" ref="B11:C11" si="3">B5-B10</f>
        <v>0.6366898148148149</v>
      </c>
      <c r="C11" s="47">
        <f t="shared" si="3"/>
        <v>0.63594907407407408</v>
      </c>
      <c r="D11" s="48" t="s">
        <v>68</v>
      </c>
    </row>
    <row r="14" spans="1:4">
      <c r="A14" s="24">
        <v>20</v>
      </c>
      <c r="D14" s="27" t="s">
        <v>70</v>
      </c>
    </row>
    <row r="15" spans="1:4">
      <c r="A15" s="24">
        <v>35</v>
      </c>
      <c r="B15" s="24">
        <v>6</v>
      </c>
      <c r="C15" s="24">
        <v>4</v>
      </c>
      <c r="D15" s="27" t="s">
        <v>30</v>
      </c>
    </row>
    <row r="16" spans="1:4">
      <c r="A16" s="24">
        <v>10</v>
      </c>
      <c r="B16" s="24">
        <v>1</v>
      </c>
      <c r="D16" s="27" t="s">
        <v>26</v>
      </c>
    </row>
    <row r="17" spans="1:4">
      <c r="A17" s="24">
        <v>101</v>
      </c>
      <c r="B17" s="24">
        <v>37</v>
      </c>
      <c r="C17" s="24">
        <v>56</v>
      </c>
      <c r="D17" s="27" t="s">
        <v>29</v>
      </c>
    </row>
    <row r="18" spans="1:4">
      <c r="A18" s="24">
        <v>101</v>
      </c>
      <c r="B18" s="24">
        <v>100</v>
      </c>
      <c r="C18" s="24">
        <v>100</v>
      </c>
      <c r="D18" s="27" t="s">
        <v>71</v>
      </c>
    </row>
    <row r="19" spans="1:4">
      <c r="A19" s="24">
        <v>102</v>
      </c>
      <c r="B19" s="24">
        <v>100</v>
      </c>
      <c r="C19" s="24">
        <v>101</v>
      </c>
      <c r="D19" s="27" t="s">
        <v>72</v>
      </c>
    </row>
    <row r="20" spans="1:4">
      <c r="A20" s="24">
        <v>100</v>
      </c>
      <c r="B20" s="24">
        <v>100</v>
      </c>
      <c r="C20" s="24">
        <v>100</v>
      </c>
      <c r="D20" s="27" t="s">
        <v>25</v>
      </c>
    </row>
    <row r="21" spans="1:4">
      <c r="A21" s="24">
        <v>220</v>
      </c>
      <c r="B21" s="24">
        <v>100</v>
      </c>
      <c r="C21" s="24">
        <v>100</v>
      </c>
      <c r="D21" s="27" t="s">
        <v>24</v>
      </c>
    </row>
    <row r="22" spans="1:4">
      <c r="A22" s="24">
        <v>100</v>
      </c>
      <c r="B22" s="24">
        <v>100</v>
      </c>
      <c r="C22" s="24">
        <v>100</v>
      </c>
      <c r="D22" s="27" t="s">
        <v>73</v>
      </c>
    </row>
    <row r="23" spans="1:4">
      <c r="A23" s="24">
        <v>100</v>
      </c>
      <c r="B23" s="24">
        <v>100</v>
      </c>
      <c r="C23" s="24">
        <v>101</v>
      </c>
      <c r="D23" s="27" t="s">
        <v>74</v>
      </c>
    </row>
    <row r="26" spans="1:4">
      <c r="A26" s="24">
        <v>315</v>
      </c>
      <c r="B26" s="24">
        <v>180</v>
      </c>
      <c r="C26" s="24">
        <v>180</v>
      </c>
      <c r="D26" s="27" t="s">
        <v>75</v>
      </c>
    </row>
    <row r="28" spans="1:4">
      <c r="A28" s="24">
        <v>300</v>
      </c>
      <c r="B28" s="24">
        <v>100</v>
      </c>
      <c r="C28" s="24">
        <v>100</v>
      </c>
      <c r="D28" s="27" t="s">
        <v>70</v>
      </c>
    </row>
    <row r="29" spans="1:4">
      <c r="A29" s="24">
        <v>400</v>
      </c>
      <c r="B29" s="24">
        <v>150</v>
      </c>
      <c r="C29" s="24">
        <v>150</v>
      </c>
      <c r="D29" s="27" t="s">
        <v>30</v>
      </c>
    </row>
    <row r="30" spans="1:4">
      <c r="A30" s="24">
        <v>300</v>
      </c>
      <c r="B30" s="24">
        <v>100</v>
      </c>
      <c r="C30" s="24">
        <v>100</v>
      </c>
      <c r="D30" s="27" t="s">
        <v>26</v>
      </c>
    </row>
    <row r="31" spans="1:4">
      <c r="A31" s="24">
        <v>800</v>
      </c>
      <c r="B31" s="24">
        <v>300</v>
      </c>
      <c r="C31" s="24">
        <v>300</v>
      </c>
      <c r="D31" s="27" t="s">
        <v>29</v>
      </c>
    </row>
    <row r="32" spans="1:4">
      <c r="A32" s="24">
        <v>800</v>
      </c>
      <c r="B32" s="24">
        <v>400</v>
      </c>
      <c r="C32" s="24">
        <v>400</v>
      </c>
      <c r="D32" s="27" t="s">
        <v>71</v>
      </c>
    </row>
    <row r="33" spans="1:4">
      <c r="D33" s="27" t="s">
        <v>72</v>
      </c>
    </row>
    <row r="34" spans="1:4">
      <c r="D34" s="27" t="s">
        <v>25</v>
      </c>
    </row>
    <row r="35" spans="1:4">
      <c r="A35" s="24">
        <v>1000</v>
      </c>
      <c r="B35" s="24">
        <v>1000</v>
      </c>
      <c r="C35" s="24">
        <v>1000</v>
      </c>
      <c r="D35" s="27" t="s">
        <v>24</v>
      </c>
    </row>
    <row r="36" spans="1:4">
      <c r="A36" s="24">
        <v>10000</v>
      </c>
      <c r="B36" s="24">
        <v>3000</v>
      </c>
      <c r="C36" s="24">
        <v>3000</v>
      </c>
      <c r="D36" s="27" t="s">
        <v>73</v>
      </c>
    </row>
  </sheetData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C11" sqref="C11"/>
    </sheetView>
  </sheetViews>
  <sheetFormatPr baseColWidth="10" defaultColWidth="8.83203125" defaultRowHeight="14" x14ac:dyDescent="0"/>
  <cols>
    <col min="1" max="1" width="16.83203125" customWidth="1"/>
    <col min="2" max="2" width="12" style="4" customWidth="1"/>
    <col min="3" max="3" width="11.33203125" style="4" customWidth="1"/>
    <col min="4" max="4" width="9.83203125" style="4" customWidth="1"/>
    <col min="7" max="7" width="16.83203125" customWidth="1"/>
    <col min="8" max="9" width="10.83203125" customWidth="1"/>
    <col min="10" max="10" width="11.33203125" bestFit="1" customWidth="1"/>
    <col min="11" max="11" width="10.6640625" bestFit="1" customWidth="1"/>
  </cols>
  <sheetData>
    <row r="1" spans="1:10">
      <c r="B1" s="4" t="s">
        <v>1</v>
      </c>
      <c r="C1" s="4" t="s">
        <v>4</v>
      </c>
      <c r="D1" s="4" t="s">
        <v>5</v>
      </c>
    </row>
    <row r="2" spans="1:10">
      <c r="A2" s="2" t="s">
        <v>0</v>
      </c>
      <c r="B2" s="23">
        <v>2328358</v>
      </c>
      <c r="C2" s="23">
        <v>1006918</v>
      </c>
      <c r="D2" s="23">
        <v>618232</v>
      </c>
    </row>
    <row r="3" spans="1:10" ht="15.75" customHeight="1">
      <c r="A3" s="2" t="s">
        <v>2</v>
      </c>
      <c r="B3" s="23">
        <v>3073500</v>
      </c>
      <c r="C3" s="23">
        <v>2879700</v>
      </c>
      <c r="D3" s="23"/>
    </row>
    <row r="4" spans="1:10" ht="15.75" customHeight="1">
      <c r="A4" s="3" t="s">
        <v>3</v>
      </c>
      <c r="B4" s="7">
        <f>SUM(B2:B3)</f>
        <v>5401858</v>
      </c>
      <c r="C4" s="7">
        <f>SUM(C2:C3)</f>
        <v>3886618</v>
      </c>
      <c r="D4" s="7">
        <f>SUM(D2:D3)</f>
        <v>618232</v>
      </c>
    </row>
    <row r="5" spans="1:10">
      <c r="B5" s="6"/>
      <c r="C5" s="6"/>
      <c r="D5" s="6"/>
      <c r="H5" s="32" t="s">
        <v>1</v>
      </c>
      <c r="I5" s="32" t="s">
        <v>4</v>
      </c>
      <c r="J5" s="32" t="s">
        <v>5</v>
      </c>
    </row>
    <row r="6" spans="1:10">
      <c r="A6" s="2" t="s">
        <v>6</v>
      </c>
      <c r="B6" s="23">
        <v>2030000</v>
      </c>
      <c r="C6" s="23">
        <v>1155000</v>
      </c>
      <c r="D6" s="23">
        <v>315000</v>
      </c>
      <c r="E6" t="s">
        <v>45</v>
      </c>
      <c r="G6" t="s">
        <v>47</v>
      </c>
      <c r="H6" s="34">
        <f>3073500+1932715</f>
        <v>5006215</v>
      </c>
      <c r="I6" s="34">
        <f>2879700+835819</f>
        <v>3715519</v>
      </c>
      <c r="J6" s="34">
        <v>513180</v>
      </c>
    </row>
    <row r="7" spans="1:10">
      <c r="A7" s="2" t="s">
        <v>7</v>
      </c>
      <c r="B7" s="23">
        <v>335000</v>
      </c>
      <c r="C7" s="23">
        <v>180000</v>
      </c>
      <c r="D7" s="23">
        <v>45000</v>
      </c>
      <c r="E7" t="s">
        <v>76</v>
      </c>
      <c r="G7" t="s">
        <v>48</v>
      </c>
      <c r="H7" s="34">
        <f>B2-1932715</f>
        <v>395643</v>
      </c>
      <c r="I7" s="34">
        <f>C2-835819</f>
        <v>171099</v>
      </c>
      <c r="J7" s="34">
        <f>D2-513180</f>
        <v>105052</v>
      </c>
    </row>
    <row r="8" spans="1:10">
      <c r="A8" s="2" t="s">
        <v>8</v>
      </c>
      <c r="B8" s="23"/>
      <c r="C8" s="23"/>
      <c r="D8" s="23"/>
      <c r="G8" t="s">
        <v>49</v>
      </c>
      <c r="H8" s="34"/>
      <c r="I8" s="34"/>
      <c r="J8" s="34"/>
    </row>
    <row r="9" spans="1:10">
      <c r="A9" s="2" t="s">
        <v>9</v>
      </c>
      <c r="B9" s="23"/>
      <c r="C9" s="23"/>
      <c r="D9" s="23"/>
      <c r="G9" t="s">
        <v>50</v>
      </c>
      <c r="H9" s="34"/>
      <c r="I9" s="34"/>
      <c r="J9" s="34"/>
    </row>
    <row r="10" spans="1:10">
      <c r="A10" s="2" t="s">
        <v>10</v>
      </c>
      <c r="B10" s="23"/>
      <c r="C10" s="23"/>
      <c r="D10" s="23"/>
      <c r="G10" t="s">
        <v>51</v>
      </c>
      <c r="H10" s="34"/>
      <c r="I10" s="34"/>
      <c r="J10" s="34"/>
    </row>
    <row r="11" spans="1:10" ht="15.75" customHeight="1">
      <c r="A11" s="2" t="s">
        <v>11</v>
      </c>
      <c r="B11" s="23"/>
      <c r="C11" s="23"/>
      <c r="D11" s="23"/>
      <c r="G11" t="s">
        <v>52</v>
      </c>
      <c r="H11" s="34"/>
      <c r="I11" s="34"/>
      <c r="J11" s="34"/>
    </row>
    <row r="12" spans="1:10" ht="15.75" customHeight="1">
      <c r="A12" s="33" t="s">
        <v>46</v>
      </c>
      <c r="B12" s="23"/>
      <c r="C12" s="23"/>
      <c r="D12" s="23"/>
      <c r="G12" t="s">
        <v>53</v>
      </c>
      <c r="H12" s="34"/>
      <c r="I12" s="34"/>
      <c r="J12" s="34"/>
    </row>
    <row r="13" spans="1:10" ht="15.75" customHeight="1">
      <c r="A13" s="3" t="s">
        <v>12</v>
      </c>
      <c r="B13" s="7">
        <f>SUM(B6:B12)</f>
        <v>2365000</v>
      </c>
      <c r="C13" s="7">
        <f>SUM(C6:C12)</f>
        <v>1335000</v>
      </c>
      <c r="D13" s="7">
        <f>SUM(D6:D12)</f>
        <v>360000</v>
      </c>
      <c r="H13" s="35">
        <f>SUM(H6:H12)</f>
        <v>5401858</v>
      </c>
      <c r="I13" s="35">
        <f t="shared" ref="I13:J13" si="0">SUM(I6:I12)</f>
        <v>3886618</v>
      </c>
      <c r="J13" s="35">
        <f t="shared" si="0"/>
        <v>618232</v>
      </c>
    </row>
    <row r="14" spans="1:10">
      <c r="B14" s="6"/>
      <c r="C14" s="6"/>
      <c r="D14" s="6"/>
    </row>
    <row r="15" spans="1:10">
      <c r="A15" s="5" t="s">
        <v>13</v>
      </c>
      <c r="B15" s="8">
        <f>H13-B13</f>
        <v>3036858</v>
      </c>
      <c r="C15" s="8">
        <f>I13-C13</f>
        <v>2551618</v>
      </c>
      <c r="D15" s="8">
        <f>J13-D13</f>
        <v>258232</v>
      </c>
      <c r="E15" s="2"/>
      <c r="F15" s="4"/>
    </row>
    <row r="16" spans="1:10">
      <c r="A16" s="5" t="s">
        <v>14</v>
      </c>
      <c r="B16" s="8">
        <f>B15/(COUNT(B6:B12))</f>
        <v>1518429</v>
      </c>
      <c r="C16" s="8">
        <f>C15/(COUNT(C6:C12))</f>
        <v>1275809</v>
      </c>
      <c r="D16" s="8">
        <f>D15/(COUNT(D6:D12))</f>
        <v>129116</v>
      </c>
    </row>
    <row r="17" spans="1:11">
      <c r="B17" s="6"/>
      <c r="C17" s="6"/>
      <c r="D17" s="6"/>
    </row>
    <row r="18" spans="1:11">
      <c r="A18" s="9" t="s">
        <v>15</v>
      </c>
      <c r="B18" s="10">
        <f>B6+$B$16</f>
        <v>3548429</v>
      </c>
      <c r="C18" s="10">
        <f>C6+$C$16</f>
        <v>2430809</v>
      </c>
      <c r="D18" s="10">
        <f>D6+$D$16</f>
        <v>444116</v>
      </c>
      <c r="G18" s="37" t="s">
        <v>54</v>
      </c>
      <c r="H18" s="38">
        <f>B18-H6</f>
        <v>-1457786</v>
      </c>
      <c r="I18" s="38">
        <f>C18-I6</f>
        <v>-1284710</v>
      </c>
      <c r="J18" s="38"/>
      <c r="K18" s="42"/>
    </row>
    <row r="19" spans="1:11">
      <c r="A19" s="9" t="s">
        <v>16</v>
      </c>
      <c r="B19" s="10">
        <f>B7+$B$16</f>
        <v>1853429</v>
      </c>
      <c r="C19" s="10">
        <f>C7+$C$16</f>
        <v>1455809</v>
      </c>
      <c r="D19" s="10">
        <f>D7+$D$16</f>
        <v>174116</v>
      </c>
      <c r="G19" s="37" t="s">
        <v>55</v>
      </c>
      <c r="H19" s="38">
        <f t="shared" ref="H19:H23" si="1">B19-H7</f>
        <v>1457786</v>
      </c>
      <c r="I19" s="38">
        <f t="shared" ref="I19:I23" si="2">C19-I7</f>
        <v>1284710</v>
      </c>
      <c r="J19" s="40"/>
    </row>
    <row r="20" spans="1:11">
      <c r="A20" s="9" t="s">
        <v>17</v>
      </c>
      <c r="B20" s="10">
        <f t="shared" ref="B20:B23" si="3">B8+$B$16</f>
        <v>1518429</v>
      </c>
      <c r="C20" s="10">
        <f t="shared" ref="C20:C23" si="4">C8+$C$16</f>
        <v>1275809</v>
      </c>
      <c r="D20" s="10">
        <f t="shared" ref="D20:D23" si="5">D8+$D$16</f>
        <v>129116</v>
      </c>
      <c r="G20" s="37" t="s">
        <v>56</v>
      </c>
      <c r="H20" s="38">
        <f t="shared" si="1"/>
        <v>1518429</v>
      </c>
      <c r="I20" s="38">
        <f t="shared" si="2"/>
        <v>1275809</v>
      </c>
      <c r="J20" s="39"/>
    </row>
    <row r="21" spans="1:11">
      <c r="A21" s="9" t="s">
        <v>18</v>
      </c>
      <c r="B21" s="10">
        <f t="shared" si="3"/>
        <v>1518429</v>
      </c>
      <c r="C21" s="10">
        <f t="shared" si="4"/>
        <v>1275809</v>
      </c>
      <c r="D21" s="10">
        <f t="shared" si="5"/>
        <v>129116</v>
      </c>
      <c r="G21" s="37" t="s">
        <v>57</v>
      </c>
      <c r="H21" s="38">
        <f t="shared" si="1"/>
        <v>1518429</v>
      </c>
      <c r="I21" s="38">
        <f t="shared" si="2"/>
        <v>1275809</v>
      </c>
      <c r="J21" s="39"/>
    </row>
    <row r="22" spans="1:11">
      <c r="A22" s="9" t="s">
        <v>19</v>
      </c>
      <c r="B22" s="10">
        <f t="shared" si="3"/>
        <v>1518429</v>
      </c>
      <c r="C22" s="10">
        <f t="shared" si="4"/>
        <v>1275809</v>
      </c>
      <c r="D22" s="10">
        <f t="shared" si="5"/>
        <v>129116</v>
      </c>
      <c r="G22" s="37" t="s">
        <v>58</v>
      </c>
      <c r="H22" s="38">
        <f t="shared" si="1"/>
        <v>1518429</v>
      </c>
      <c r="I22" s="38">
        <f t="shared" si="2"/>
        <v>1275809</v>
      </c>
      <c r="J22" s="39"/>
      <c r="K22" s="41"/>
    </row>
    <row r="23" spans="1:11">
      <c r="A23" s="9" t="s">
        <v>20</v>
      </c>
      <c r="B23" s="10">
        <f t="shared" si="3"/>
        <v>1518429</v>
      </c>
      <c r="C23" s="10">
        <f t="shared" si="4"/>
        <v>1275809</v>
      </c>
      <c r="D23" s="10">
        <f t="shared" si="5"/>
        <v>129116</v>
      </c>
      <c r="G23" s="37" t="s">
        <v>59</v>
      </c>
      <c r="H23" s="38">
        <f t="shared" si="1"/>
        <v>1518429</v>
      </c>
      <c r="I23" s="38">
        <f t="shared" si="2"/>
        <v>1275809</v>
      </c>
      <c r="J23" s="40"/>
    </row>
    <row r="24" spans="1:11">
      <c r="A24" s="36" t="s">
        <v>60</v>
      </c>
      <c r="G24" s="37" t="s">
        <v>61</v>
      </c>
      <c r="H24" s="38"/>
      <c r="I24" s="39"/>
      <c r="J24" s="39"/>
    </row>
  </sheetData>
  <pageMargins left="0.7" right="0.7" top="0.75" bottom="0.75" header="0.3" footer="0.3"/>
  <pageSetup orientation="landscape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E4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3" sqref="C23"/>
    </sheetView>
  </sheetViews>
  <sheetFormatPr baseColWidth="10" defaultColWidth="8.83203125" defaultRowHeight="12" x14ac:dyDescent="0"/>
  <cols>
    <col min="1" max="16384" width="8.83203125" style="24"/>
  </cols>
  <sheetData>
    <row r="1" spans="1:499">
      <c r="A1" s="24">
        <v>1</v>
      </c>
      <c r="B1" s="24">
        <v>2</v>
      </c>
      <c r="C1" s="24">
        <v>3</v>
      </c>
      <c r="D1" s="24">
        <v>4</v>
      </c>
      <c r="E1" s="24">
        <v>5</v>
      </c>
      <c r="F1" s="24">
        <v>6</v>
      </c>
      <c r="G1" s="24">
        <v>7</v>
      </c>
      <c r="H1" s="24">
        <v>8</v>
      </c>
      <c r="I1" s="24">
        <v>9</v>
      </c>
      <c r="J1" s="24">
        <v>10</v>
      </c>
      <c r="K1" s="24">
        <v>11</v>
      </c>
      <c r="L1" s="24">
        <v>12</v>
      </c>
      <c r="M1" s="24">
        <v>13</v>
      </c>
      <c r="N1" s="24">
        <v>14</v>
      </c>
      <c r="O1" s="24">
        <v>15</v>
      </c>
      <c r="P1" s="24">
        <v>16</v>
      </c>
      <c r="Q1" s="24">
        <v>17</v>
      </c>
      <c r="R1" s="24">
        <v>18</v>
      </c>
      <c r="S1" s="24">
        <v>19</v>
      </c>
      <c r="T1" s="24">
        <v>20</v>
      </c>
      <c r="U1" s="24">
        <v>21</v>
      </c>
      <c r="V1" s="24">
        <v>22</v>
      </c>
      <c r="W1" s="24">
        <v>23</v>
      </c>
      <c r="X1" s="24">
        <v>24</v>
      </c>
      <c r="Y1" s="24">
        <v>25</v>
      </c>
      <c r="Z1" s="24">
        <v>26</v>
      </c>
      <c r="AA1" s="24">
        <v>27</v>
      </c>
      <c r="AB1" s="24">
        <v>28</v>
      </c>
      <c r="AC1" s="24">
        <v>29</v>
      </c>
      <c r="AD1" s="24">
        <v>30</v>
      </c>
      <c r="AE1" s="24">
        <v>31</v>
      </c>
      <c r="AF1" s="24">
        <v>32</v>
      </c>
      <c r="AG1" s="24">
        <v>33</v>
      </c>
      <c r="AH1" s="24">
        <v>34</v>
      </c>
      <c r="AI1" s="24">
        <v>35</v>
      </c>
      <c r="AJ1" s="24">
        <v>36</v>
      </c>
      <c r="AK1" s="24">
        <v>37</v>
      </c>
      <c r="AL1" s="24">
        <v>38</v>
      </c>
      <c r="AM1" s="24">
        <v>39</v>
      </c>
      <c r="AN1" s="24">
        <v>40</v>
      </c>
      <c r="AO1" s="24">
        <v>41</v>
      </c>
      <c r="AP1" s="24">
        <v>42</v>
      </c>
      <c r="AQ1" s="24">
        <v>43</v>
      </c>
      <c r="AR1" s="24">
        <v>44</v>
      </c>
      <c r="AS1" s="24">
        <v>45</v>
      </c>
      <c r="AT1" s="24">
        <v>46</v>
      </c>
      <c r="AU1" s="24">
        <v>47</v>
      </c>
      <c r="AV1" s="24">
        <v>48</v>
      </c>
      <c r="AW1" s="24">
        <v>49</v>
      </c>
      <c r="AX1" s="24">
        <v>50</v>
      </c>
      <c r="AY1" s="24">
        <v>51</v>
      </c>
      <c r="AZ1" s="24">
        <v>52</v>
      </c>
      <c r="BA1" s="24">
        <v>53</v>
      </c>
      <c r="BB1" s="24">
        <v>54</v>
      </c>
      <c r="BC1" s="24">
        <v>55</v>
      </c>
      <c r="BD1" s="24">
        <v>56</v>
      </c>
      <c r="BE1" s="24">
        <v>57</v>
      </c>
      <c r="BF1" s="24">
        <v>58</v>
      </c>
      <c r="BG1" s="24">
        <v>59</v>
      </c>
      <c r="BH1" s="24">
        <v>60</v>
      </c>
      <c r="BI1" s="24">
        <v>61</v>
      </c>
      <c r="BJ1" s="24">
        <v>62</v>
      </c>
      <c r="BK1" s="24">
        <v>63</v>
      </c>
      <c r="BL1" s="24">
        <v>64</v>
      </c>
      <c r="BM1" s="24">
        <v>65</v>
      </c>
      <c r="BN1" s="24">
        <v>66</v>
      </c>
      <c r="BO1" s="24">
        <v>67</v>
      </c>
      <c r="BP1" s="24">
        <v>68</v>
      </c>
      <c r="BQ1" s="24">
        <v>69</v>
      </c>
      <c r="BR1" s="24">
        <v>70</v>
      </c>
      <c r="BS1" s="24">
        <v>71</v>
      </c>
      <c r="BT1" s="24">
        <v>72</v>
      </c>
      <c r="BU1" s="24">
        <v>73</v>
      </c>
      <c r="BV1" s="24">
        <v>74</v>
      </c>
      <c r="BW1" s="24">
        <v>75</v>
      </c>
      <c r="BX1" s="24">
        <v>76</v>
      </c>
      <c r="BY1" s="24">
        <v>77</v>
      </c>
      <c r="BZ1" s="24">
        <v>78</v>
      </c>
      <c r="CA1" s="24">
        <v>79</v>
      </c>
      <c r="CB1" s="24">
        <v>80</v>
      </c>
      <c r="CC1" s="24">
        <v>81</v>
      </c>
      <c r="CD1" s="24">
        <v>82</v>
      </c>
      <c r="CE1" s="24">
        <v>83</v>
      </c>
      <c r="CF1" s="24">
        <v>84</v>
      </c>
      <c r="CG1" s="24">
        <v>85</v>
      </c>
      <c r="CH1" s="24">
        <v>86</v>
      </c>
      <c r="CI1" s="24">
        <v>87</v>
      </c>
      <c r="CJ1" s="24">
        <v>88</v>
      </c>
      <c r="CK1" s="24">
        <v>89</v>
      </c>
      <c r="CL1" s="24">
        <v>90</v>
      </c>
      <c r="CM1" s="24">
        <v>91</v>
      </c>
      <c r="CN1" s="24">
        <v>92</v>
      </c>
      <c r="CO1" s="24">
        <v>93</v>
      </c>
      <c r="CP1" s="24">
        <v>94</v>
      </c>
      <c r="CQ1" s="24">
        <v>95</v>
      </c>
      <c r="CR1" s="24">
        <v>96</v>
      </c>
      <c r="CS1" s="24">
        <v>97</v>
      </c>
      <c r="CT1" s="24">
        <v>98</v>
      </c>
      <c r="CU1" s="24">
        <v>99</v>
      </c>
      <c r="CV1" s="24">
        <v>100</v>
      </c>
      <c r="CW1" s="24">
        <v>101</v>
      </c>
      <c r="CX1" s="24">
        <v>102</v>
      </c>
      <c r="CY1" s="24">
        <v>103</v>
      </c>
      <c r="CZ1" s="24">
        <v>104</v>
      </c>
      <c r="DA1" s="24">
        <v>105</v>
      </c>
      <c r="DB1" s="24">
        <v>106</v>
      </c>
      <c r="DC1" s="24">
        <v>107</v>
      </c>
      <c r="DD1" s="24">
        <v>108</v>
      </c>
      <c r="DE1" s="24">
        <v>109</v>
      </c>
      <c r="DF1" s="24">
        <v>110</v>
      </c>
      <c r="DG1" s="24">
        <v>111</v>
      </c>
      <c r="DH1" s="24">
        <v>112</v>
      </c>
      <c r="DI1" s="24">
        <v>113</v>
      </c>
      <c r="DJ1" s="24">
        <v>114</v>
      </c>
      <c r="DK1" s="24">
        <v>115</v>
      </c>
      <c r="DL1" s="24">
        <v>116</v>
      </c>
      <c r="DM1" s="24">
        <v>117</v>
      </c>
      <c r="DN1" s="24">
        <v>118</v>
      </c>
      <c r="DO1" s="24">
        <v>119</v>
      </c>
      <c r="DP1" s="24">
        <v>120</v>
      </c>
      <c r="DQ1" s="24">
        <v>121</v>
      </c>
      <c r="DR1" s="24">
        <v>122</v>
      </c>
      <c r="DS1" s="24">
        <v>123</v>
      </c>
      <c r="DT1" s="24">
        <v>124</v>
      </c>
      <c r="DU1" s="24">
        <v>125</v>
      </c>
      <c r="DV1" s="24">
        <v>126</v>
      </c>
      <c r="DW1" s="24">
        <v>127</v>
      </c>
      <c r="DX1" s="24">
        <v>128</v>
      </c>
      <c r="DY1" s="24">
        <v>129</v>
      </c>
      <c r="DZ1" s="24">
        <v>130</v>
      </c>
      <c r="EA1" s="24">
        <v>131</v>
      </c>
      <c r="EB1" s="24">
        <v>132</v>
      </c>
      <c r="EC1" s="24">
        <v>133</v>
      </c>
      <c r="ED1" s="24">
        <v>134</v>
      </c>
      <c r="EE1" s="24">
        <v>135</v>
      </c>
      <c r="EF1" s="24">
        <v>136</v>
      </c>
      <c r="EG1" s="24">
        <v>137</v>
      </c>
      <c r="EH1" s="24">
        <v>138</v>
      </c>
      <c r="EI1" s="24">
        <v>139</v>
      </c>
      <c r="EJ1" s="24">
        <v>140</v>
      </c>
      <c r="EK1" s="24">
        <v>141</v>
      </c>
      <c r="EL1" s="24">
        <v>142</v>
      </c>
      <c r="EM1" s="24">
        <v>143</v>
      </c>
      <c r="EN1" s="24">
        <v>144</v>
      </c>
      <c r="EO1" s="24">
        <v>145</v>
      </c>
      <c r="EP1" s="24">
        <v>146</v>
      </c>
      <c r="EQ1" s="24">
        <v>147</v>
      </c>
      <c r="ER1" s="24">
        <v>148</v>
      </c>
      <c r="ES1" s="24">
        <v>149</v>
      </c>
      <c r="ET1" s="24">
        <v>150</v>
      </c>
      <c r="EU1" s="24">
        <v>151</v>
      </c>
      <c r="EV1" s="24">
        <v>152</v>
      </c>
      <c r="EW1" s="24">
        <v>153</v>
      </c>
      <c r="EX1" s="24">
        <v>154</v>
      </c>
      <c r="EY1" s="24">
        <v>155</v>
      </c>
      <c r="EZ1" s="24">
        <v>156</v>
      </c>
      <c r="FA1" s="24">
        <v>157</v>
      </c>
      <c r="FB1" s="24">
        <v>158</v>
      </c>
      <c r="FC1" s="24">
        <v>159</v>
      </c>
      <c r="FD1" s="24">
        <v>160</v>
      </c>
      <c r="FE1" s="24">
        <v>161</v>
      </c>
      <c r="FF1" s="24">
        <v>162</v>
      </c>
      <c r="FG1" s="24">
        <v>163</v>
      </c>
      <c r="FH1" s="24">
        <v>164</v>
      </c>
      <c r="FI1" s="24">
        <v>165</v>
      </c>
      <c r="FJ1" s="24">
        <v>166</v>
      </c>
      <c r="FK1" s="24">
        <v>167</v>
      </c>
      <c r="FL1" s="24">
        <v>168</v>
      </c>
      <c r="FM1" s="24">
        <v>169</v>
      </c>
      <c r="FN1" s="24">
        <v>170</v>
      </c>
      <c r="FO1" s="24">
        <v>171</v>
      </c>
      <c r="FP1" s="24">
        <v>172</v>
      </c>
      <c r="FQ1" s="24">
        <v>173</v>
      </c>
      <c r="FR1" s="24">
        <v>174</v>
      </c>
      <c r="FS1" s="24">
        <v>175</v>
      </c>
      <c r="FT1" s="24">
        <v>176</v>
      </c>
      <c r="FU1" s="24">
        <v>177</v>
      </c>
      <c r="FV1" s="24">
        <v>178</v>
      </c>
      <c r="FW1" s="24">
        <v>179</v>
      </c>
      <c r="FX1" s="24">
        <v>180</v>
      </c>
      <c r="FY1" s="24">
        <v>181</v>
      </c>
      <c r="FZ1" s="24">
        <v>182</v>
      </c>
      <c r="GA1" s="24">
        <v>183</v>
      </c>
      <c r="GB1" s="24">
        <v>184</v>
      </c>
      <c r="GC1" s="24">
        <v>185</v>
      </c>
      <c r="GD1" s="24">
        <v>186</v>
      </c>
      <c r="GE1" s="24">
        <v>187</v>
      </c>
      <c r="GF1" s="24">
        <v>188</v>
      </c>
      <c r="GG1" s="24">
        <v>189</v>
      </c>
      <c r="GH1" s="24">
        <v>190</v>
      </c>
      <c r="GI1" s="24">
        <v>191</v>
      </c>
      <c r="GJ1" s="24">
        <v>192</v>
      </c>
      <c r="GK1" s="24">
        <v>193</v>
      </c>
      <c r="GL1" s="24">
        <v>194</v>
      </c>
      <c r="GM1" s="24">
        <v>195</v>
      </c>
      <c r="GN1" s="24">
        <v>196</v>
      </c>
      <c r="GO1" s="24">
        <v>197</v>
      </c>
      <c r="GP1" s="24">
        <v>198</v>
      </c>
      <c r="GQ1" s="24">
        <v>199</v>
      </c>
      <c r="GR1" s="24">
        <v>200</v>
      </c>
      <c r="GS1" s="24">
        <v>201</v>
      </c>
      <c r="GT1" s="24">
        <v>202</v>
      </c>
      <c r="GU1" s="24">
        <v>203</v>
      </c>
      <c r="GV1" s="24">
        <v>204</v>
      </c>
      <c r="GW1" s="24">
        <v>205</v>
      </c>
      <c r="GX1" s="24">
        <v>206</v>
      </c>
      <c r="GY1" s="24">
        <v>207</v>
      </c>
      <c r="GZ1" s="24">
        <v>208</v>
      </c>
      <c r="HA1" s="24">
        <v>209</v>
      </c>
      <c r="HB1" s="24">
        <v>210</v>
      </c>
      <c r="HC1" s="24">
        <v>211</v>
      </c>
      <c r="HD1" s="24">
        <v>212</v>
      </c>
      <c r="HE1" s="24">
        <v>213</v>
      </c>
      <c r="HF1" s="24">
        <v>214</v>
      </c>
      <c r="HG1" s="24">
        <v>215</v>
      </c>
      <c r="HH1" s="24">
        <v>216</v>
      </c>
      <c r="HI1" s="24">
        <v>217</v>
      </c>
      <c r="HJ1" s="24">
        <v>218</v>
      </c>
      <c r="HK1" s="24">
        <v>219</v>
      </c>
      <c r="HL1" s="24">
        <v>220</v>
      </c>
      <c r="HM1" s="24">
        <v>221</v>
      </c>
      <c r="HN1" s="24">
        <v>222</v>
      </c>
      <c r="HO1" s="24">
        <v>223</v>
      </c>
      <c r="HP1" s="24">
        <v>224</v>
      </c>
      <c r="HQ1" s="24">
        <v>225</v>
      </c>
      <c r="HR1" s="24">
        <v>226</v>
      </c>
      <c r="HS1" s="24">
        <v>227</v>
      </c>
      <c r="HT1" s="24">
        <v>228</v>
      </c>
      <c r="HU1" s="24">
        <v>229</v>
      </c>
      <c r="HV1" s="24">
        <v>230</v>
      </c>
      <c r="HW1" s="24">
        <v>231</v>
      </c>
      <c r="HX1" s="24">
        <v>232</v>
      </c>
      <c r="HY1" s="24">
        <v>233</v>
      </c>
      <c r="HZ1" s="24">
        <v>234</v>
      </c>
      <c r="IA1" s="24">
        <v>235</v>
      </c>
      <c r="IB1" s="24">
        <v>236</v>
      </c>
      <c r="IC1" s="24">
        <v>237</v>
      </c>
      <c r="ID1" s="24">
        <v>238</v>
      </c>
      <c r="IE1" s="24">
        <v>239</v>
      </c>
      <c r="IF1" s="24">
        <v>240</v>
      </c>
      <c r="IG1" s="24">
        <v>241</v>
      </c>
      <c r="IH1" s="24">
        <v>242</v>
      </c>
      <c r="II1" s="24">
        <v>243</v>
      </c>
      <c r="IJ1" s="24">
        <v>244</v>
      </c>
      <c r="IK1" s="24">
        <v>245</v>
      </c>
      <c r="IL1" s="24">
        <v>246</v>
      </c>
      <c r="IM1" s="24">
        <v>247</v>
      </c>
      <c r="IN1" s="24">
        <v>248</v>
      </c>
      <c r="IO1" s="24">
        <v>249</v>
      </c>
      <c r="IP1" s="24">
        <v>250</v>
      </c>
      <c r="IQ1" s="24">
        <v>251</v>
      </c>
      <c r="IR1" s="24">
        <v>252</v>
      </c>
      <c r="IS1" s="24">
        <v>253</v>
      </c>
      <c r="IT1" s="24">
        <v>254</v>
      </c>
      <c r="IU1" s="24">
        <v>255</v>
      </c>
      <c r="IV1" s="24">
        <v>256</v>
      </c>
      <c r="IW1" s="24">
        <v>257</v>
      </c>
      <c r="IX1" s="24">
        <v>258</v>
      </c>
      <c r="IY1" s="24">
        <v>259</v>
      </c>
      <c r="IZ1" s="24">
        <v>260</v>
      </c>
      <c r="JA1" s="24">
        <v>261</v>
      </c>
      <c r="JB1" s="24">
        <v>262</v>
      </c>
      <c r="JC1" s="24">
        <v>263</v>
      </c>
      <c r="JD1" s="24">
        <v>264</v>
      </c>
      <c r="JE1" s="24">
        <v>265</v>
      </c>
      <c r="JF1" s="24">
        <v>266</v>
      </c>
      <c r="JG1" s="24">
        <v>267</v>
      </c>
      <c r="JH1" s="24">
        <v>268</v>
      </c>
      <c r="JI1" s="24">
        <v>269</v>
      </c>
      <c r="JJ1" s="24">
        <v>270</v>
      </c>
      <c r="JK1" s="24">
        <v>271</v>
      </c>
      <c r="JL1" s="24">
        <v>272</v>
      </c>
      <c r="JM1" s="24">
        <v>273</v>
      </c>
      <c r="JN1" s="24">
        <v>274</v>
      </c>
      <c r="JO1" s="24">
        <v>275</v>
      </c>
      <c r="JP1" s="24">
        <v>276</v>
      </c>
      <c r="JQ1" s="24">
        <v>277</v>
      </c>
      <c r="JR1" s="24">
        <v>278</v>
      </c>
      <c r="JS1" s="24">
        <v>279</v>
      </c>
      <c r="JT1" s="24">
        <v>280</v>
      </c>
      <c r="JU1" s="24">
        <v>281</v>
      </c>
      <c r="JV1" s="24">
        <v>282</v>
      </c>
      <c r="JW1" s="24">
        <v>283</v>
      </c>
      <c r="JX1" s="24">
        <v>284</v>
      </c>
      <c r="JY1" s="24">
        <v>285</v>
      </c>
      <c r="JZ1" s="24">
        <v>286</v>
      </c>
      <c r="KA1" s="24">
        <v>287</v>
      </c>
      <c r="KB1" s="24">
        <v>288</v>
      </c>
      <c r="KC1" s="24">
        <v>289</v>
      </c>
      <c r="KD1" s="24">
        <v>290</v>
      </c>
      <c r="KE1" s="24">
        <v>291</v>
      </c>
      <c r="KF1" s="24">
        <v>292</v>
      </c>
      <c r="KG1" s="24">
        <v>293</v>
      </c>
      <c r="KH1" s="24">
        <v>294</v>
      </c>
      <c r="KI1" s="24">
        <v>295</v>
      </c>
      <c r="KJ1" s="24">
        <v>296</v>
      </c>
      <c r="KK1" s="24">
        <v>297</v>
      </c>
      <c r="KL1" s="24">
        <v>298</v>
      </c>
      <c r="KM1" s="24">
        <v>299</v>
      </c>
      <c r="KN1" s="24">
        <v>300</v>
      </c>
      <c r="KO1" s="24">
        <v>301</v>
      </c>
      <c r="KP1" s="24">
        <v>302</v>
      </c>
      <c r="KQ1" s="24">
        <v>303</v>
      </c>
      <c r="KR1" s="24">
        <v>304</v>
      </c>
      <c r="KS1" s="24">
        <v>305</v>
      </c>
      <c r="KT1" s="24">
        <v>306</v>
      </c>
      <c r="KU1" s="24">
        <v>307</v>
      </c>
      <c r="KV1" s="24">
        <v>308</v>
      </c>
      <c r="KW1" s="24">
        <v>309</v>
      </c>
      <c r="KX1" s="24">
        <v>310</v>
      </c>
      <c r="KY1" s="24">
        <v>311</v>
      </c>
      <c r="KZ1" s="24">
        <v>312</v>
      </c>
      <c r="LA1" s="24">
        <v>313</v>
      </c>
      <c r="LB1" s="24">
        <v>314</v>
      </c>
      <c r="LC1" s="24">
        <v>315</v>
      </c>
      <c r="LD1" s="24">
        <v>316</v>
      </c>
      <c r="LE1" s="24">
        <v>317</v>
      </c>
      <c r="LF1" s="24">
        <v>318</v>
      </c>
      <c r="LG1" s="24">
        <v>319</v>
      </c>
      <c r="LH1" s="24">
        <v>320</v>
      </c>
      <c r="LI1" s="24">
        <v>321</v>
      </c>
      <c r="LJ1" s="24">
        <v>322</v>
      </c>
      <c r="LK1" s="24">
        <v>323</v>
      </c>
      <c r="LL1" s="24">
        <v>324</v>
      </c>
      <c r="LM1" s="24">
        <v>325</v>
      </c>
      <c r="LN1" s="24">
        <v>326</v>
      </c>
      <c r="LO1" s="24">
        <v>327</v>
      </c>
      <c r="LP1" s="24">
        <v>328</v>
      </c>
      <c r="LQ1" s="24">
        <v>329</v>
      </c>
      <c r="LR1" s="24">
        <v>330</v>
      </c>
      <c r="LS1" s="24">
        <v>331</v>
      </c>
      <c r="LT1" s="24">
        <v>332</v>
      </c>
      <c r="LU1" s="24">
        <v>333</v>
      </c>
      <c r="LV1" s="24">
        <v>334</v>
      </c>
      <c r="LW1" s="24">
        <v>335</v>
      </c>
      <c r="LX1" s="24">
        <v>336</v>
      </c>
      <c r="LY1" s="24">
        <v>337</v>
      </c>
      <c r="LZ1" s="24">
        <v>338</v>
      </c>
      <c r="MA1" s="24">
        <v>339</v>
      </c>
      <c r="MB1" s="24">
        <v>340</v>
      </c>
      <c r="MC1" s="24">
        <v>341</v>
      </c>
      <c r="MD1" s="24">
        <v>342</v>
      </c>
      <c r="ME1" s="24">
        <v>343</v>
      </c>
      <c r="MF1" s="24">
        <v>344</v>
      </c>
      <c r="MG1" s="24">
        <v>345</v>
      </c>
      <c r="MH1" s="24">
        <v>346</v>
      </c>
      <c r="MI1" s="24">
        <v>347</v>
      </c>
      <c r="MJ1" s="24">
        <v>348</v>
      </c>
      <c r="MK1" s="24">
        <v>349</v>
      </c>
      <c r="ML1" s="24">
        <v>350</v>
      </c>
      <c r="MM1" s="24">
        <v>351</v>
      </c>
      <c r="MN1" s="24">
        <v>352</v>
      </c>
      <c r="MO1" s="24">
        <v>353</v>
      </c>
      <c r="MP1" s="24">
        <v>354</v>
      </c>
      <c r="MQ1" s="24">
        <v>355</v>
      </c>
      <c r="MR1" s="24">
        <v>356</v>
      </c>
      <c r="MS1" s="24">
        <v>357</v>
      </c>
      <c r="MT1" s="24">
        <v>358</v>
      </c>
      <c r="MU1" s="24">
        <v>359</v>
      </c>
      <c r="MV1" s="24">
        <v>360</v>
      </c>
      <c r="MW1" s="24">
        <v>361</v>
      </c>
      <c r="MX1" s="24">
        <v>362</v>
      </c>
      <c r="MY1" s="24">
        <v>363</v>
      </c>
      <c r="MZ1" s="24">
        <v>364</v>
      </c>
      <c r="NA1" s="24">
        <v>365</v>
      </c>
      <c r="NB1" s="24">
        <v>366</v>
      </c>
      <c r="NC1" s="24">
        <v>367</v>
      </c>
      <c r="ND1" s="24">
        <v>368</v>
      </c>
      <c r="NE1" s="24">
        <v>369</v>
      </c>
      <c r="NF1" s="24">
        <v>370</v>
      </c>
      <c r="NG1" s="24">
        <v>371</v>
      </c>
      <c r="NH1" s="24">
        <v>372</v>
      </c>
      <c r="NI1" s="24">
        <v>373</v>
      </c>
      <c r="NJ1" s="24">
        <v>374</v>
      </c>
      <c r="NK1" s="24">
        <v>375</v>
      </c>
      <c r="NL1" s="24">
        <v>376</v>
      </c>
      <c r="NM1" s="24">
        <v>377</v>
      </c>
      <c r="NN1" s="24">
        <v>378</v>
      </c>
      <c r="NO1" s="24">
        <v>379</v>
      </c>
      <c r="NP1" s="24">
        <v>380</v>
      </c>
      <c r="NQ1" s="24">
        <v>381</v>
      </c>
      <c r="NR1" s="24">
        <v>382</v>
      </c>
      <c r="NS1" s="24">
        <v>383</v>
      </c>
      <c r="NT1" s="24">
        <v>384</v>
      </c>
      <c r="NU1" s="24">
        <v>385</v>
      </c>
      <c r="NV1" s="24">
        <v>386</v>
      </c>
      <c r="NW1" s="24">
        <v>387</v>
      </c>
      <c r="NX1" s="24">
        <v>388</v>
      </c>
      <c r="NY1" s="24">
        <v>389</v>
      </c>
      <c r="NZ1" s="24">
        <v>390</v>
      </c>
      <c r="OA1" s="24">
        <v>391</v>
      </c>
      <c r="OB1" s="24">
        <v>392</v>
      </c>
      <c r="OC1" s="24">
        <v>393</v>
      </c>
      <c r="OD1" s="24">
        <v>394</v>
      </c>
      <c r="OE1" s="24">
        <v>395</v>
      </c>
      <c r="OF1" s="24">
        <v>396</v>
      </c>
      <c r="OG1" s="24">
        <v>397</v>
      </c>
      <c r="OH1" s="24">
        <v>398</v>
      </c>
      <c r="OI1" s="24">
        <v>399</v>
      </c>
      <c r="OJ1" s="24">
        <v>400</v>
      </c>
      <c r="OK1" s="24">
        <v>401</v>
      </c>
      <c r="OL1" s="24">
        <v>402</v>
      </c>
      <c r="OM1" s="24">
        <v>403</v>
      </c>
      <c r="ON1" s="24">
        <v>404</v>
      </c>
      <c r="OO1" s="24">
        <v>405</v>
      </c>
      <c r="OP1" s="24">
        <v>406</v>
      </c>
      <c r="OQ1" s="24">
        <v>407</v>
      </c>
      <c r="OR1" s="24">
        <v>408</v>
      </c>
      <c r="OS1" s="24">
        <v>409</v>
      </c>
      <c r="OT1" s="24">
        <v>410</v>
      </c>
      <c r="OU1" s="24">
        <v>411</v>
      </c>
      <c r="OV1" s="24">
        <v>412</v>
      </c>
      <c r="OW1" s="24">
        <v>413</v>
      </c>
      <c r="OX1" s="24">
        <v>414</v>
      </c>
      <c r="OY1" s="24">
        <v>415</v>
      </c>
      <c r="OZ1" s="24">
        <v>416</v>
      </c>
      <c r="PA1" s="24">
        <v>417</v>
      </c>
      <c r="PB1" s="24">
        <v>418</v>
      </c>
      <c r="PC1" s="24">
        <v>419</v>
      </c>
      <c r="PD1" s="24">
        <v>420</v>
      </c>
      <c r="PE1" s="24">
        <v>421</v>
      </c>
      <c r="PF1" s="24">
        <v>422</v>
      </c>
      <c r="PG1" s="24">
        <v>423</v>
      </c>
      <c r="PH1" s="24">
        <v>424</v>
      </c>
      <c r="PI1" s="24">
        <v>425</v>
      </c>
      <c r="PJ1" s="24">
        <v>426</v>
      </c>
      <c r="PK1" s="24">
        <v>427</v>
      </c>
      <c r="PL1" s="24">
        <v>428</v>
      </c>
      <c r="PM1" s="24">
        <v>429</v>
      </c>
      <c r="PN1" s="24">
        <v>430</v>
      </c>
      <c r="PO1" s="24">
        <v>431</v>
      </c>
      <c r="PP1" s="24">
        <v>432</v>
      </c>
      <c r="PQ1" s="24">
        <v>433</v>
      </c>
      <c r="PR1" s="24">
        <v>434</v>
      </c>
      <c r="PS1" s="24">
        <v>435</v>
      </c>
      <c r="PT1" s="24">
        <v>436</v>
      </c>
      <c r="PU1" s="24">
        <v>437</v>
      </c>
      <c r="PV1" s="24">
        <v>438</v>
      </c>
      <c r="PW1" s="24">
        <v>439</v>
      </c>
      <c r="PX1" s="24">
        <v>440</v>
      </c>
      <c r="PY1" s="24">
        <v>441</v>
      </c>
      <c r="PZ1" s="24">
        <v>442</v>
      </c>
      <c r="QA1" s="24">
        <v>443</v>
      </c>
      <c r="QB1" s="24">
        <v>444</v>
      </c>
      <c r="QC1" s="24">
        <v>445</v>
      </c>
      <c r="QD1" s="24">
        <v>446</v>
      </c>
      <c r="QE1" s="24">
        <v>447</v>
      </c>
      <c r="QF1" s="24">
        <v>448</v>
      </c>
      <c r="QG1" s="24">
        <v>449</v>
      </c>
      <c r="QH1" s="24">
        <v>450</v>
      </c>
      <c r="QI1" s="24">
        <v>451</v>
      </c>
      <c r="QJ1" s="24">
        <v>452</v>
      </c>
      <c r="QK1" s="24">
        <v>453</v>
      </c>
      <c r="QL1" s="24">
        <v>454</v>
      </c>
      <c r="QM1" s="24">
        <v>455</v>
      </c>
      <c r="QN1" s="24">
        <v>456</v>
      </c>
      <c r="QO1" s="24">
        <v>457</v>
      </c>
      <c r="QP1" s="24">
        <v>458</v>
      </c>
      <c r="QQ1" s="24">
        <v>459</v>
      </c>
      <c r="QR1" s="24">
        <v>460</v>
      </c>
      <c r="QS1" s="24">
        <v>461</v>
      </c>
      <c r="QT1" s="24">
        <v>462</v>
      </c>
      <c r="QU1" s="24">
        <v>463</v>
      </c>
      <c r="QV1" s="24">
        <v>464</v>
      </c>
      <c r="QW1" s="24">
        <v>465</v>
      </c>
      <c r="QX1" s="24">
        <v>466</v>
      </c>
      <c r="QY1" s="24">
        <v>467</v>
      </c>
      <c r="QZ1" s="24">
        <v>468</v>
      </c>
      <c r="RA1" s="24">
        <v>469</v>
      </c>
      <c r="RB1" s="24">
        <v>470</v>
      </c>
      <c r="RC1" s="24">
        <v>471</v>
      </c>
      <c r="RD1" s="24">
        <v>472</v>
      </c>
      <c r="RE1" s="24">
        <v>473</v>
      </c>
      <c r="RF1" s="24">
        <v>474</v>
      </c>
      <c r="RG1" s="24">
        <v>475</v>
      </c>
      <c r="RH1" s="24">
        <v>476</v>
      </c>
      <c r="RI1" s="24">
        <v>477</v>
      </c>
      <c r="RJ1" s="24">
        <v>478</v>
      </c>
      <c r="RK1" s="24">
        <v>479</v>
      </c>
      <c r="RL1" s="24">
        <v>480</v>
      </c>
      <c r="RM1" s="24">
        <v>481</v>
      </c>
      <c r="RN1" s="24">
        <v>482</v>
      </c>
      <c r="RO1" s="24">
        <v>483</v>
      </c>
      <c r="RP1" s="24">
        <v>484</v>
      </c>
      <c r="RQ1" s="24">
        <v>485</v>
      </c>
      <c r="RR1" s="24">
        <v>486</v>
      </c>
      <c r="RS1" s="24">
        <v>487</v>
      </c>
      <c r="RT1" s="24">
        <v>488</v>
      </c>
      <c r="RU1" s="24">
        <v>489</v>
      </c>
      <c r="RV1" s="24">
        <v>490</v>
      </c>
      <c r="RW1" s="24">
        <v>491</v>
      </c>
      <c r="RX1" s="24">
        <v>492</v>
      </c>
      <c r="RY1" s="24">
        <v>493</v>
      </c>
      <c r="RZ1" s="24">
        <v>494</v>
      </c>
      <c r="SA1" s="24">
        <v>495</v>
      </c>
      <c r="SB1" s="24">
        <v>496</v>
      </c>
      <c r="SC1" s="24">
        <v>497</v>
      </c>
      <c r="SD1" s="24">
        <v>498</v>
      </c>
      <c r="SE1" s="24">
        <v>499</v>
      </c>
    </row>
    <row r="2" spans="1:499">
      <c r="A2" s="24">
        <v>1</v>
      </c>
    </row>
    <row r="3" spans="1:499">
      <c r="A3" s="24">
        <v>2</v>
      </c>
      <c r="ET3" s="30"/>
    </row>
    <row r="4" spans="1:499">
      <c r="A4" s="24">
        <v>3</v>
      </c>
      <c r="ET4" s="30"/>
    </row>
    <row r="5" spans="1:499">
      <c r="A5" s="24">
        <v>4</v>
      </c>
      <c r="ES5"/>
      <c r="ET5" s="31"/>
      <c r="EU5" s="30"/>
      <c r="GD5" s="30"/>
    </row>
    <row r="6" spans="1:499">
      <c r="A6" s="24">
        <v>5</v>
      </c>
      <c r="GD6" s="28"/>
    </row>
    <row r="7" spans="1:499">
      <c r="A7" s="24">
        <v>6</v>
      </c>
      <c r="ET7" s="30"/>
    </row>
    <row r="8" spans="1:499">
      <c r="A8" s="24">
        <v>7</v>
      </c>
    </row>
    <row r="9" spans="1:499">
      <c r="A9" s="24">
        <v>8</v>
      </c>
      <c r="ET9" s="30"/>
    </row>
    <row r="10" spans="1:499">
      <c r="A10" s="24">
        <v>9</v>
      </c>
      <c r="ET10" s="30"/>
    </row>
    <row r="11" spans="1:499">
      <c r="A11" s="24">
        <v>10</v>
      </c>
    </row>
    <row r="12" spans="1:499">
      <c r="A12" s="24">
        <v>11</v>
      </c>
    </row>
    <row r="13" spans="1:499">
      <c r="A13" s="24">
        <v>12</v>
      </c>
      <c r="ET13" s="30"/>
    </row>
    <row r="14" spans="1:499">
      <c r="A14" s="24">
        <v>13</v>
      </c>
      <c r="ES14" s="30"/>
      <c r="GD14" s="30"/>
    </row>
    <row r="15" spans="1:499">
      <c r="A15" s="24">
        <v>14</v>
      </c>
    </row>
    <row r="16" spans="1:499">
      <c r="A16" s="24">
        <v>15</v>
      </c>
      <c r="ES16" s="30"/>
    </row>
    <row r="19" spans="2:46">
      <c r="B19" s="29"/>
      <c r="F19" s="29"/>
      <c r="J19" s="29"/>
      <c r="N19" s="29"/>
      <c r="R19" s="29"/>
      <c r="V19" s="29"/>
      <c r="Z19" s="29"/>
      <c r="AD19" s="29"/>
      <c r="AH19" s="27"/>
      <c r="AN19" s="27"/>
      <c r="AT19" s="27"/>
    </row>
    <row r="20" spans="2:46">
      <c r="B20"/>
      <c r="F20"/>
      <c r="J20"/>
      <c r="N20"/>
      <c r="R20"/>
      <c r="V20"/>
      <c r="Z20"/>
      <c r="AD20"/>
      <c r="AH20" s="27"/>
      <c r="AN20" s="27"/>
      <c r="AT20" s="27"/>
    </row>
    <row r="21" spans="2:46">
      <c r="B21" s="27"/>
      <c r="F21" s="27"/>
      <c r="J21" s="27"/>
      <c r="N21" s="27"/>
      <c r="R21" s="27"/>
      <c r="V21" s="27"/>
      <c r="Z21" s="27"/>
      <c r="AD21" s="27"/>
      <c r="AH21" s="27"/>
      <c r="AN21" s="27"/>
      <c r="AT21" s="27"/>
    </row>
    <row r="22" spans="2:46">
      <c r="B22" s="27"/>
      <c r="F22" s="27"/>
      <c r="J22" s="27"/>
      <c r="N22" s="27"/>
      <c r="R22" s="27"/>
      <c r="V22" s="27"/>
      <c r="Z22" s="27"/>
      <c r="AD22" s="27"/>
      <c r="AH22" s="27"/>
      <c r="AN22" s="27"/>
      <c r="AT22" s="27"/>
    </row>
    <row r="23" spans="2:46">
      <c r="B23" s="27"/>
      <c r="F23" s="27"/>
      <c r="J23" s="27"/>
      <c r="N23" s="27"/>
      <c r="R23" s="27"/>
      <c r="V23" s="27"/>
      <c r="Z23" s="27"/>
      <c r="AD23" s="27"/>
      <c r="AH23" s="27"/>
      <c r="AN23" s="27"/>
      <c r="AT23" s="27"/>
    </row>
    <row r="24" spans="2:46">
      <c r="B24" s="27"/>
      <c r="F24" s="27"/>
      <c r="J24" s="27"/>
      <c r="N24" s="27"/>
      <c r="R24" s="27"/>
      <c r="V24" s="27"/>
      <c r="Z24" s="27"/>
      <c r="AD24" s="27"/>
      <c r="AH24" s="27"/>
      <c r="AN24" s="27"/>
      <c r="AT24" s="27"/>
    </row>
    <row r="25" spans="2:46">
      <c r="B25"/>
      <c r="F25"/>
      <c r="J25"/>
      <c r="N25"/>
      <c r="R25"/>
      <c r="V25"/>
      <c r="Z25"/>
      <c r="AD25"/>
      <c r="AH25" s="27"/>
      <c r="AN25" s="27"/>
      <c r="AT25" s="27"/>
    </row>
    <row r="26" spans="2:46">
      <c r="B26" s="27"/>
      <c r="F26" s="27"/>
      <c r="J26" s="27"/>
      <c r="N26" s="27"/>
      <c r="R26" s="27"/>
      <c r="V26" s="27"/>
      <c r="Z26" s="27"/>
      <c r="AD26" s="27"/>
      <c r="AH26"/>
      <c r="AN26"/>
      <c r="AT26"/>
    </row>
    <row r="27" spans="2:46">
      <c r="B27"/>
      <c r="F27" s="27"/>
      <c r="J27" s="27"/>
      <c r="N27" s="27"/>
      <c r="R27" s="27"/>
      <c r="V27"/>
      <c r="Z27" s="27"/>
      <c r="AD27"/>
      <c r="AH27" s="27"/>
      <c r="AN27" s="27"/>
      <c r="AT27" s="27"/>
    </row>
    <row r="28" spans="2:46">
      <c r="B28"/>
      <c r="F28"/>
      <c r="J28"/>
      <c r="N28"/>
      <c r="R28"/>
      <c r="V28"/>
      <c r="Z28"/>
      <c r="AD28"/>
      <c r="AH28" s="27"/>
      <c r="AN28"/>
      <c r="AT28" s="27"/>
    </row>
    <row r="29" spans="2:46">
      <c r="B29" s="27"/>
      <c r="F29" s="27"/>
      <c r="J29" s="27"/>
      <c r="N29" s="27"/>
      <c r="R29" s="27"/>
      <c r="V29" s="27"/>
      <c r="Z29" s="27"/>
      <c r="AD29" s="27"/>
      <c r="AH29"/>
      <c r="AN29" s="27"/>
      <c r="AT29"/>
    </row>
    <row r="30" spans="2:46">
      <c r="B30" s="27"/>
      <c r="F30" s="27"/>
      <c r="J30" s="27"/>
      <c r="N30" s="27"/>
      <c r="R30" s="27"/>
      <c r="V30" s="27"/>
      <c r="Z30" s="27"/>
      <c r="AD30" s="27"/>
      <c r="AH30" s="27"/>
      <c r="AN30" s="27"/>
      <c r="AT30" s="27"/>
    </row>
    <row r="31" spans="2:46">
      <c r="B31" s="27"/>
      <c r="F31" s="27"/>
      <c r="J31" s="27"/>
      <c r="N31" s="27"/>
      <c r="R31" s="27"/>
      <c r="V31" s="27"/>
      <c r="Z31" s="27"/>
      <c r="AD31" s="27"/>
      <c r="AH31" s="27"/>
      <c r="AN31" s="27"/>
      <c r="AT31" s="27"/>
    </row>
    <row r="32" spans="2:46">
      <c r="B32" s="27"/>
      <c r="F32" s="27"/>
      <c r="J32" s="27"/>
      <c r="N32" s="27"/>
      <c r="R32" s="27"/>
      <c r="V32" s="27"/>
      <c r="Z32" s="27"/>
      <c r="AD32" s="27"/>
      <c r="AH32" s="27"/>
      <c r="AN32" s="27"/>
      <c r="AT32" s="27"/>
    </row>
    <row r="33" spans="6:46">
      <c r="F33" s="27"/>
      <c r="J33" s="27"/>
      <c r="N33" s="27"/>
      <c r="R33" s="27"/>
      <c r="V33" s="27"/>
      <c r="Z33" s="27"/>
      <c r="AD33" s="27"/>
      <c r="AH33" s="27"/>
      <c r="AN33" s="27"/>
      <c r="AT33" s="27"/>
    </row>
    <row r="34" spans="6:46">
      <c r="F34" s="27"/>
      <c r="J34" s="27"/>
      <c r="N34" s="27"/>
      <c r="R34" s="27"/>
      <c r="V34" s="27"/>
      <c r="Z34" s="27"/>
      <c r="AD34" s="27"/>
      <c r="AH34" s="27"/>
      <c r="AN34" s="27"/>
      <c r="AT34" s="27"/>
    </row>
    <row r="35" spans="6:46">
      <c r="J35" s="27"/>
      <c r="N35" s="27"/>
      <c r="R35" s="27"/>
      <c r="V35" s="27"/>
      <c r="Z35" s="27"/>
      <c r="AD35" s="27"/>
      <c r="AH35" s="27"/>
      <c r="AN35" s="27"/>
      <c r="AT35" s="27"/>
    </row>
    <row r="36" spans="6:46">
      <c r="J36" s="27"/>
      <c r="N36" s="27"/>
      <c r="R36" s="27"/>
      <c r="V36" s="27"/>
      <c r="Z36" s="27"/>
      <c r="AD36" s="27"/>
      <c r="AH36" s="27"/>
      <c r="AN36" s="27"/>
      <c r="AT36" s="27"/>
    </row>
    <row r="37" spans="6:46">
      <c r="J37" s="27"/>
      <c r="N37" s="27"/>
      <c r="R37" s="27"/>
      <c r="V37" s="27"/>
      <c r="Z37" s="27"/>
      <c r="AD37" s="27"/>
      <c r="AH37" s="27"/>
      <c r="AN37" s="27"/>
      <c r="AT37" s="27"/>
    </row>
    <row r="38" spans="6:46">
      <c r="J38" s="27"/>
      <c r="N38" s="27"/>
      <c r="R38" s="27"/>
      <c r="V38" s="27"/>
      <c r="Z38" s="27"/>
      <c r="AD38" s="27"/>
      <c r="AH38" s="27"/>
      <c r="AN38" s="27"/>
      <c r="AT38" s="27"/>
    </row>
    <row r="39" spans="6:46">
      <c r="J39" s="27"/>
      <c r="N39" s="27"/>
      <c r="R39" s="27"/>
      <c r="V39" s="27"/>
      <c r="Z39" s="27"/>
      <c r="AD39" s="27"/>
      <c r="AH39" s="27"/>
    </row>
    <row r="40" spans="6:46">
      <c r="AH40" s="27"/>
    </row>
  </sheetData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Heph Hunting</vt:lpstr>
      <vt:lpstr>Oracle Sheet</vt:lpstr>
      <vt:lpstr>Split Calculator</vt:lpstr>
      <vt:lpstr>Galaxy Heph Survey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Carly</cp:lastModifiedBy>
  <cp:lastPrinted>2011-09-26T18:13:15Z</cp:lastPrinted>
  <dcterms:created xsi:type="dcterms:W3CDTF">2011-03-10T03:24:51Z</dcterms:created>
  <dcterms:modified xsi:type="dcterms:W3CDTF">2016-07-06T15:37:14Z</dcterms:modified>
</cp:coreProperties>
</file>